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23\ФІНПЛАНИ\2023\ЗВІТ за 3 міс 2023\"/>
    </mc:Choice>
  </mc:AlternateContent>
  <bookViews>
    <workbookView xWindow="0" yWindow="0" windowWidth="28800" windowHeight="1230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джерелами'!$4:$5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Формування'!$A$1:$H$104</definedName>
    <definedName name="_xlnm.Print_Area" localSheetId="2">'Розшифровка 2 до формування'!$A$1:$H$282</definedName>
    <definedName name="_xlnm.Print_Area" localSheetId="4">'Розшифровка за джерелами'!$A$1:$P$44</definedName>
    <definedName name="_xlnm.Print_Area" localSheetId="3">'Розшифровка кап'!$A$1:$G$42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O37" i="9" l="1"/>
  <c r="N37" i="9"/>
  <c r="M37" i="9"/>
  <c r="L37" i="9"/>
  <c r="K37" i="9"/>
  <c r="J37" i="9"/>
  <c r="I37" i="9"/>
  <c r="H37" i="9"/>
  <c r="G37" i="9"/>
  <c r="F37" i="9"/>
  <c r="E37" i="9"/>
  <c r="G66" i="14"/>
  <c r="G49" i="14"/>
  <c r="H34" i="14"/>
  <c r="H52" i="14"/>
  <c r="G68" i="14"/>
  <c r="G67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0" i="14"/>
  <c r="H77" i="14"/>
  <c r="G77" i="14"/>
  <c r="H76" i="14"/>
  <c r="G76" i="14"/>
  <c r="H75" i="14"/>
  <c r="G75" i="14"/>
  <c r="H74" i="14"/>
  <c r="G74" i="14"/>
  <c r="H73" i="14"/>
  <c r="G73" i="14"/>
  <c r="H72" i="14"/>
  <c r="G72" i="14"/>
  <c r="H99" i="22"/>
  <c r="G99" i="22"/>
  <c r="H98" i="22"/>
  <c r="G98" i="22"/>
  <c r="H97" i="22"/>
  <c r="G97" i="22"/>
  <c r="H96" i="22"/>
  <c r="G96" i="22"/>
  <c r="H95" i="22"/>
  <c r="G95" i="22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E50" i="22" l="1"/>
  <c r="E66" i="22"/>
  <c r="E65" i="22"/>
  <c r="E64" i="22"/>
  <c r="E63" i="22"/>
  <c r="L32" i="26"/>
  <c r="L33" i="26"/>
  <c r="N30" i="26"/>
  <c r="M30" i="26"/>
  <c r="N28" i="26"/>
  <c r="M28" i="26"/>
  <c r="N27" i="26"/>
  <c r="M27" i="26"/>
  <c r="N25" i="26"/>
  <c r="M25" i="26"/>
  <c r="L30" i="26"/>
  <c r="L28" i="26"/>
  <c r="L27" i="26"/>
  <c r="L25" i="26"/>
  <c r="N23" i="26"/>
  <c r="M23" i="26"/>
  <c r="N22" i="26"/>
  <c r="M22" i="26"/>
  <c r="N21" i="26"/>
  <c r="M21" i="26"/>
  <c r="N20" i="26"/>
  <c r="M20" i="26"/>
  <c r="N19" i="26"/>
  <c r="M19" i="26"/>
  <c r="N18" i="26"/>
  <c r="M18" i="26"/>
  <c r="L23" i="26"/>
  <c r="L22" i="26"/>
  <c r="L21" i="26"/>
  <c r="L20" i="26"/>
  <c r="L19" i="26"/>
  <c r="L18" i="26"/>
  <c r="N15" i="26"/>
  <c r="M15" i="26"/>
  <c r="N14" i="26"/>
  <c r="M14" i="26"/>
  <c r="N13" i="26"/>
  <c r="M13" i="26"/>
  <c r="N12" i="26"/>
  <c r="M12" i="26"/>
  <c r="N11" i="26"/>
  <c r="M11" i="26"/>
  <c r="N10" i="26"/>
  <c r="M10" i="26"/>
  <c r="L15" i="26"/>
  <c r="L14" i="26"/>
  <c r="L13" i="26"/>
  <c r="L12" i="26"/>
  <c r="L11" i="26"/>
  <c r="L10" i="26"/>
  <c r="F6" i="26"/>
  <c r="E6" i="26"/>
  <c r="D6" i="26"/>
  <c r="F225" i="26"/>
  <c r="H237" i="26"/>
  <c r="G237" i="26"/>
  <c r="F236" i="26"/>
  <c r="G236" i="26" s="1"/>
  <c r="D236" i="26"/>
  <c r="D233" i="26" s="1"/>
  <c r="E234" i="26"/>
  <c r="E233" i="26"/>
  <c r="F194" i="26"/>
  <c r="F17" i="22"/>
  <c r="F18" i="22"/>
  <c r="F207" i="26"/>
  <c r="F11" i="26"/>
  <c r="F196" i="26"/>
  <c r="F177" i="26"/>
  <c r="F175" i="26"/>
  <c r="F173" i="26"/>
  <c r="F235" i="26" l="1"/>
  <c r="G235" i="26" s="1"/>
  <c r="H236" i="26"/>
  <c r="H235" i="26"/>
  <c r="F233" i="26"/>
  <c r="H27" i="22"/>
  <c r="G27" i="22"/>
  <c r="H26" i="22"/>
  <c r="G26" i="22"/>
  <c r="H25" i="22"/>
  <c r="G25" i="22"/>
  <c r="H24" i="22"/>
  <c r="G24" i="22"/>
  <c r="H23" i="22"/>
  <c r="G23" i="22"/>
  <c r="H21" i="22"/>
  <c r="G21" i="22"/>
  <c r="H18" i="22"/>
  <c r="G18" i="22"/>
  <c r="H17" i="22"/>
  <c r="G17" i="22"/>
  <c r="H16" i="22"/>
  <c r="G16" i="22"/>
  <c r="H15" i="22"/>
  <c r="G15" i="22"/>
  <c r="H14" i="22"/>
  <c r="G14" i="22"/>
  <c r="H12" i="22"/>
  <c r="G12" i="22"/>
  <c r="H11" i="22"/>
  <c r="G11" i="22"/>
  <c r="H10" i="22"/>
  <c r="G10" i="22"/>
  <c r="H9" i="22"/>
  <c r="G9" i="22"/>
  <c r="E184" i="26"/>
  <c r="H184" i="26" s="1"/>
  <c r="E183" i="26"/>
  <c r="G183" i="26" s="1"/>
  <c r="E182" i="26"/>
  <c r="H182" i="26" s="1"/>
  <c r="E181" i="26"/>
  <c r="H280" i="26"/>
  <c r="H174" i="26"/>
  <c r="G280" i="26"/>
  <c r="H277" i="26"/>
  <c r="G277" i="26"/>
  <c r="H274" i="26"/>
  <c r="H272" i="26"/>
  <c r="G272" i="26"/>
  <c r="H271" i="26"/>
  <c r="G271" i="26"/>
  <c r="H268" i="26"/>
  <c r="G268" i="26"/>
  <c r="H267" i="26"/>
  <c r="G267" i="26"/>
  <c r="H266" i="26"/>
  <c r="G266" i="26"/>
  <c r="H265" i="26"/>
  <c r="G265" i="26"/>
  <c r="H264" i="26"/>
  <c r="G264" i="26"/>
  <c r="H263" i="26"/>
  <c r="G263" i="26"/>
  <c r="H262" i="26"/>
  <c r="G262" i="26"/>
  <c r="H261" i="26"/>
  <c r="G261" i="26"/>
  <c r="H259" i="26"/>
  <c r="G259" i="26"/>
  <c r="H258" i="26"/>
  <c r="G258" i="26"/>
  <c r="H255" i="26"/>
  <c r="G255" i="26"/>
  <c r="H254" i="26"/>
  <c r="G254" i="26"/>
  <c r="H253" i="26"/>
  <c r="G253" i="26"/>
  <c r="H252" i="26"/>
  <c r="G252" i="26"/>
  <c r="H251" i="26"/>
  <c r="G251" i="26"/>
  <c r="H250" i="26"/>
  <c r="G250" i="26"/>
  <c r="H249" i="26"/>
  <c r="G249" i="26"/>
  <c r="H247" i="26"/>
  <c r="G247" i="26"/>
  <c r="H246" i="26"/>
  <c r="G246" i="26"/>
  <c r="H245" i="26"/>
  <c r="G245" i="26"/>
  <c r="H244" i="26"/>
  <c r="G244" i="26"/>
  <c r="H243" i="26"/>
  <c r="G243" i="26"/>
  <c r="H242" i="26"/>
  <c r="G242" i="26"/>
  <c r="H232" i="26"/>
  <c r="G232" i="26"/>
  <c r="H231" i="26"/>
  <c r="G231" i="26"/>
  <c r="H230" i="26"/>
  <c r="G230" i="26"/>
  <c r="H228" i="26"/>
  <c r="G228" i="26"/>
  <c r="H226" i="26"/>
  <c r="G226" i="26"/>
  <c r="H225" i="26"/>
  <c r="G225" i="26"/>
  <c r="H220" i="26"/>
  <c r="G220" i="26"/>
  <c r="H217" i="26"/>
  <c r="G217" i="26"/>
  <c r="H215" i="26"/>
  <c r="G215" i="26"/>
  <c r="H212" i="26"/>
  <c r="G212" i="26"/>
  <c r="H206" i="26"/>
  <c r="G206" i="26"/>
  <c r="H205" i="26"/>
  <c r="G205" i="26"/>
  <c r="H202" i="26"/>
  <c r="H195" i="26"/>
  <c r="G195" i="26"/>
  <c r="H190" i="26"/>
  <c r="G190" i="26"/>
  <c r="H189" i="26"/>
  <c r="G189" i="26"/>
  <c r="H188" i="26"/>
  <c r="G188" i="26"/>
  <c r="H187" i="26"/>
  <c r="G187" i="26"/>
  <c r="G184" i="26"/>
  <c r="H183" i="26"/>
  <c r="G182" i="26"/>
  <c r="H181" i="26"/>
  <c r="G181" i="26"/>
  <c r="H179" i="26"/>
  <c r="G179" i="26"/>
  <c r="H178" i="26"/>
  <c r="G178" i="26"/>
  <c r="H177" i="26"/>
  <c r="G177" i="26"/>
  <c r="H176" i="26"/>
  <c r="G176" i="26"/>
  <c r="H175" i="26"/>
  <c r="G175" i="26"/>
  <c r="G174" i="26"/>
  <c r="H173" i="26"/>
  <c r="G173" i="26"/>
  <c r="H172" i="26"/>
  <c r="G172" i="26"/>
  <c r="H169" i="26"/>
  <c r="G169" i="26"/>
  <c r="H167" i="26"/>
  <c r="G167" i="26"/>
  <c r="H166" i="26"/>
  <c r="G166" i="26"/>
  <c r="H164" i="26"/>
  <c r="G164" i="26"/>
  <c r="H163" i="26"/>
  <c r="G163" i="26"/>
  <c r="H158" i="26"/>
  <c r="G158" i="26"/>
  <c r="H157" i="26"/>
  <c r="G157" i="26"/>
  <c r="H156" i="26"/>
  <c r="G156" i="26"/>
  <c r="H155" i="26"/>
  <c r="G155" i="26"/>
  <c r="H153" i="26"/>
  <c r="G153" i="26"/>
  <c r="H152" i="26"/>
  <c r="G152" i="26"/>
  <c r="H151" i="26"/>
  <c r="G151" i="26"/>
  <c r="H150" i="26"/>
  <c r="G150" i="26"/>
  <c r="H149" i="26"/>
  <c r="G149" i="26"/>
  <c r="H144" i="26"/>
  <c r="G144" i="26"/>
  <c r="H141" i="26"/>
  <c r="G141" i="26"/>
  <c r="H140" i="26"/>
  <c r="G140" i="26"/>
  <c r="H139" i="26"/>
  <c r="G139" i="26"/>
  <c r="H138" i="26"/>
  <c r="G138" i="26"/>
  <c r="H136" i="26"/>
  <c r="G136" i="26"/>
  <c r="H135" i="26"/>
  <c r="G135" i="26"/>
  <c r="H132" i="26"/>
  <c r="G132" i="26"/>
  <c r="H131" i="26"/>
  <c r="G131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22" i="26"/>
  <c r="G122" i="26"/>
  <c r="H121" i="26"/>
  <c r="G121" i="26"/>
  <c r="H120" i="26"/>
  <c r="G120" i="26"/>
  <c r="H116" i="26"/>
  <c r="G116" i="26"/>
  <c r="H115" i="26"/>
  <c r="G115" i="26"/>
  <c r="H113" i="26"/>
  <c r="G113" i="26"/>
  <c r="H112" i="26"/>
  <c r="G112" i="26"/>
  <c r="H111" i="26"/>
  <c r="G111" i="26"/>
  <c r="H110" i="26"/>
  <c r="G110" i="26"/>
  <c r="H109" i="26"/>
  <c r="G109" i="26"/>
  <c r="H104" i="26"/>
  <c r="G104" i="26"/>
  <c r="H103" i="26"/>
  <c r="G103" i="26"/>
  <c r="H100" i="26"/>
  <c r="G100" i="26"/>
  <c r="H99" i="26"/>
  <c r="G99" i="26"/>
  <c r="H98" i="26"/>
  <c r="G98" i="26"/>
  <c r="H97" i="26"/>
  <c r="G97" i="26"/>
  <c r="H96" i="26"/>
  <c r="G96" i="26"/>
  <c r="H95" i="26"/>
  <c r="G95" i="26"/>
  <c r="H94" i="26"/>
  <c r="G94" i="26"/>
  <c r="H92" i="26"/>
  <c r="G92" i="26"/>
  <c r="H91" i="26"/>
  <c r="G91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3" i="26"/>
  <c r="G53" i="26"/>
  <c r="H52" i="26"/>
  <c r="G52" i="26"/>
  <c r="H50" i="26"/>
  <c r="H48" i="26"/>
  <c r="G48" i="26"/>
  <c r="H47" i="26"/>
  <c r="G47" i="26"/>
  <c r="H43" i="26"/>
  <c r="G43" i="26"/>
  <c r="H38" i="26"/>
  <c r="G38" i="26"/>
  <c r="H37" i="26"/>
  <c r="G37" i="26"/>
  <c r="H36" i="26"/>
  <c r="G36" i="26"/>
  <c r="H35" i="26"/>
  <c r="G35" i="26"/>
  <c r="H33" i="26"/>
  <c r="G33" i="26"/>
  <c r="H32" i="26"/>
  <c r="G32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3" i="26"/>
  <c r="G23" i="26"/>
  <c r="H22" i="26"/>
  <c r="G22" i="26"/>
  <c r="H21" i="26"/>
  <c r="G21" i="26"/>
  <c r="H20" i="26"/>
  <c r="G20" i="26"/>
  <c r="H18" i="26"/>
  <c r="G18" i="26"/>
  <c r="H17" i="26"/>
  <c r="G17" i="26"/>
  <c r="H16" i="26"/>
  <c r="G16" i="26"/>
  <c r="H15" i="26"/>
  <c r="G15" i="26"/>
  <c r="H13" i="26"/>
  <c r="G13" i="26"/>
  <c r="H233" i="26" l="1"/>
  <c r="G233" i="26"/>
  <c r="F41" i="14"/>
  <c r="F19" i="22" l="1"/>
  <c r="F227" i="26"/>
  <c r="H19" i="22" l="1"/>
  <c r="G19" i="22"/>
  <c r="H227" i="26"/>
  <c r="G227" i="26"/>
  <c r="F41" i="26"/>
  <c r="F40" i="26"/>
  <c r="F51" i="26"/>
  <c r="F49" i="26" l="1"/>
  <c r="H40" i="26"/>
  <c r="G40" i="26"/>
  <c r="H41" i="26"/>
  <c r="G41" i="26"/>
  <c r="F73" i="14"/>
  <c r="F72" i="14"/>
  <c r="F13" i="9"/>
  <c r="G13" i="9"/>
  <c r="H13" i="9"/>
  <c r="I13" i="9"/>
  <c r="J13" i="9"/>
  <c r="K13" i="9"/>
  <c r="L13" i="9"/>
  <c r="E13" i="9"/>
  <c r="F7" i="9"/>
  <c r="G7" i="9"/>
  <c r="H7" i="9"/>
  <c r="I7" i="9"/>
  <c r="J7" i="9"/>
  <c r="K7" i="9"/>
  <c r="L7" i="9"/>
  <c r="E7" i="9"/>
  <c r="E6" i="24" l="1"/>
  <c r="F36" i="22" l="1"/>
  <c r="G34" i="22"/>
  <c r="H34" i="22"/>
  <c r="D91" i="14" l="1"/>
  <c r="D92" i="14"/>
  <c r="D90" i="14"/>
  <c r="D85" i="14"/>
  <c r="F83" i="14"/>
  <c r="F84" i="14"/>
  <c r="F82" i="14"/>
  <c r="E94" i="14"/>
  <c r="C85" i="14"/>
  <c r="C89" i="14"/>
  <c r="E89" i="14"/>
  <c r="E92" i="14"/>
  <c r="E90" i="14"/>
  <c r="F38" i="14" l="1"/>
  <c r="F93" i="22" l="1"/>
  <c r="F78" i="22"/>
  <c r="F81" i="22"/>
  <c r="F80" i="22"/>
  <c r="F77" i="22"/>
  <c r="F76" i="22"/>
  <c r="F75" i="22"/>
  <c r="F74" i="22" l="1"/>
  <c r="F43" i="22"/>
  <c r="E10" i="26" l="1"/>
  <c r="F30" i="22"/>
  <c r="E207" i="26"/>
  <c r="H207" i="26" l="1"/>
  <c r="G207" i="26"/>
  <c r="F224" i="26"/>
  <c r="F229" i="26"/>
  <c r="F93" i="26"/>
  <c r="F90" i="26"/>
  <c r="F67" i="26"/>
  <c r="E55" i="14"/>
  <c r="F270" i="26"/>
  <c r="F24" i="26"/>
  <c r="G24" i="26" l="1"/>
  <c r="H24" i="26"/>
  <c r="H229" i="26"/>
  <c r="G229" i="26"/>
  <c r="F269" i="26"/>
  <c r="G270" i="26"/>
  <c r="H270" i="26"/>
  <c r="F223" i="26"/>
  <c r="H224" i="26"/>
  <c r="G224" i="26"/>
  <c r="F34" i="26"/>
  <c r="F19" i="26"/>
  <c r="F279" i="26"/>
  <c r="E43" i="22"/>
  <c r="G52" i="22"/>
  <c r="H52" i="22"/>
  <c r="H223" i="26" l="1"/>
  <c r="G223" i="26"/>
  <c r="H269" i="26"/>
  <c r="G269" i="26"/>
  <c r="F278" i="26"/>
  <c r="F57" i="26"/>
  <c r="F56" i="26" l="1"/>
  <c r="M33" i="26"/>
  <c r="D6" i="24"/>
  <c r="E46" i="26" l="1"/>
  <c r="E44" i="26" s="1"/>
  <c r="E114" i="26"/>
  <c r="E108" i="26"/>
  <c r="E221" i="26"/>
  <c r="F241" i="26"/>
  <c r="D279" i="26"/>
  <c r="E165" i="26"/>
  <c r="E107" i="26" l="1"/>
  <c r="E105" i="26" s="1"/>
  <c r="G105" i="26" l="1"/>
  <c r="H105" i="26"/>
  <c r="E279" i="26"/>
  <c r="E219" i="26"/>
  <c r="E218" i="26" s="1"/>
  <c r="E216" i="26" s="1"/>
  <c r="G279" i="26" l="1"/>
  <c r="H279" i="26"/>
  <c r="F221" i="26"/>
  <c r="E278" i="26"/>
  <c r="E67" i="26"/>
  <c r="E51" i="26"/>
  <c r="D39" i="26"/>
  <c r="E42" i="26"/>
  <c r="G67" i="26" l="1"/>
  <c r="H67" i="26"/>
  <c r="E49" i="26"/>
  <c r="H51" i="26"/>
  <c r="G51" i="26"/>
  <c r="H278" i="26"/>
  <c r="G278" i="26"/>
  <c r="G221" i="26"/>
  <c r="H221" i="26"/>
  <c r="E39" i="26"/>
  <c r="G42" i="26"/>
  <c r="H42" i="26"/>
  <c r="F14" i="26"/>
  <c r="H49" i="26" l="1"/>
  <c r="G49" i="26"/>
  <c r="F10" i="26"/>
  <c r="F9" i="26" s="1"/>
  <c r="H14" i="26"/>
  <c r="G14" i="26"/>
  <c r="F248" i="26"/>
  <c r="F257" i="26"/>
  <c r="F260" i="26"/>
  <c r="F240" i="26" l="1"/>
  <c r="F256" i="26"/>
  <c r="F89" i="26"/>
  <c r="E57" i="26"/>
  <c r="E102" i="26"/>
  <c r="E93" i="26"/>
  <c r="E90" i="26"/>
  <c r="H93" i="26" l="1"/>
  <c r="G93" i="26"/>
  <c r="E56" i="26"/>
  <c r="G57" i="26"/>
  <c r="H57" i="26"/>
  <c r="F238" i="26"/>
  <c r="E101" i="26"/>
  <c r="G102" i="26"/>
  <c r="H102" i="26"/>
  <c r="F54" i="26"/>
  <c r="H89" i="26"/>
  <c r="G89" i="26"/>
  <c r="G90" i="26"/>
  <c r="H90" i="26"/>
  <c r="E89" i="26"/>
  <c r="D13" i="24"/>
  <c r="C13" i="24"/>
  <c r="D38" i="24"/>
  <c r="E38" i="24"/>
  <c r="H101" i="26" l="1"/>
  <c r="G101" i="26"/>
  <c r="H56" i="26"/>
  <c r="G56" i="26"/>
  <c r="E54" i="26"/>
  <c r="H54" i="26" s="1"/>
  <c r="C6" i="24"/>
  <c r="C38" i="24"/>
  <c r="G54" i="26" l="1"/>
  <c r="C5" i="24"/>
  <c r="E90" i="22"/>
  <c r="F90" i="22"/>
  <c r="D30" i="22"/>
  <c r="D43" i="22"/>
  <c r="E71" i="22"/>
  <c r="F71" i="22"/>
  <c r="D71" i="22"/>
  <c r="D74" i="22"/>
  <c r="D90" i="22"/>
  <c r="E13" i="24"/>
  <c r="D224" i="26" l="1"/>
  <c r="D219" i="26"/>
  <c r="D218" i="26" s="1"/>
  <c r="D216" i="26" s="1"/>
  <c r="D194" i="26"/>
  <c r="D193" i="26" s="1"/>
  <c r="D191" i="26" s="1"/>
  <c r="D165" i="26"/>
  <c r="D162" i="26"/>
  <c r="D154" i="26"/>
  <c r="D123" i="26"/>
  <c r="D119" i="26" s="1"/>
  <c r="D108" i="26"/>
  <c r="D114" i="26"/>
  <c r="D107" i="26" l="1"/>
  <c r="D105" i="26" s="1"/>
  <c r="D161" i="26"/>
  <c r="D159" i="26" s="1"/>
  <c r="H94" i="22" l="1"/>
  <c r="G94" i="22"/>
  <c r="H93" i="22"/>
  <c r="G93" i="22"/>
  <c r="H92" i="22"/>
  <c r="G92" i="22"/>
  <c r="H91" i="22"/>
  <c r="G91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3" i="22"/>
  <c r="G73" i="22"/>
  <c r="H72" i="22"/>
  <c r="G72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H50" i="22"/>
  <c r="G50" i="22"/>
  <c r="H49" i="22"/>
  <c r="G49" i="22"/>
  <c r="H48" i="22"/>
  <c r="G48" i="22"/>
  <c r="H47" i="22"/>
  <c r="G47" i="22"/>
  <c r="H46" i="22"/>
  <c r="G46" i="22"/>
  <c r="H45" i="22"/>
  <c r="G45" i="22"/>
  <c r="H44" i="22"/>
  <c r="G44" i="22"/>
  <c r="H42" i="22"/>
  <c r="G42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33" i="22"/>
  <c r="G33" i="22"/>
  <c r="H32" i="22"/>
  <c r="G32" i="22"/>
  <c r="H31" i="22"/>
  <c r="G31" i="22"/>
  <c r="D46" i="26"/>
  <c r="D44" i="26" s="1"/>
  <c r="E191" i="26" l="1"/>
  <c r="F114" i="26"/>
  <c r="H8" i="22"/>
  <c r="G8" i="22"/>
  <c r="H114" i="26" l="1"/>
  <c r="G114" i="26"/>
  <c r="F193" i="26"/>
  <c r="F191" i="26" s="1"/>
  <c r="H194" i="26"/>
  <c r="G194" i="26"/>
  <c r="G191" i="26" l="1"/>
  <c r="H191" i="26"/>
  <c r="H193" i="26"/>
  <c r="G193" i="26"/>
  <c r="H12" i="26"/>
  <c r="G12" i="26"/>
  <c r="H11" i="26"/>
  <c r="G11" i="26"/>
  <c r="M34" i="26"/>
  <c r="D278" i="26" l="1"/>
  <c r="C94" i="14" l="1"/>
  <c r="D94" i="14"/>
  <c r="E96" i="14" l="1"/>
  <c r="E91" i="14" l="1"/>
  <c r="E95" i="14" s="1"/>
  <c r="F86" i="14"/>
  <c r="C96" i="14" l="1"/>
  <c r="F87" i="14"/>
  <c r="F88" i="14"/>
  <c r="F91" i="14"/>
  <c r="F95" i="14" s="1"/>
  <c r="D96" i="14"/>
  <c r="C91" i="14"/>
  <c r="C95" i="14" s="1"/>
  <c r="D89" i="14"/>
  <c r="F66" i="14"/>
  <c r="D59" i="14"/>
  <c r="F59" i="14" s="1"/>
  <c r="E59" i="14"/>
  <c r="C59" i="14"/>
  <c r="C57" i="14" s="1"/>
  <c r="D55" i="14"/>
  <c r="F55" i="14" s="1"/>
  <c r="C55" i="14"/>
  <c r="F46" i="14"/>
  <c r="F47" i="14"/>
  <c r="F48" i="14"/>
  <c r="F49" i="14"/>
  <c r="F45" i="14"/>
  <c r="F17" i="14"/>
  <c r="F18" i="14"/>
  <c r="F19" i="14"/>
  <c r="F20" i="14"/>
  <c r="F21" i="14"/>
  <c r="F23" i="14"/>
  <c r="F24" i="14"/>
  <c r="F26" i="14"/>
  <c r="F27" i="14"/>
  <c r="F28" i="14"/>
  <c r="F29" i="14"/>
  <c r="F30" i="14"/>
  <c r="F32" i="14"/>
  <c r="F33" i="14"/>
  <c r="F34" i="14"/>
  <c r="F35" i="14"/>
  <c r="F37" i="14"/>
  <c r="F40" i="14"/>
  <c r="F10" i="14"/>
  <c r="F11" i="14"/>
  <c r="F12" i="14"/>
  <c r="F13" i="14"/>
  <c r="F14" i="14"/>
  <c r="F8" i="14"/>
  <c r="D95" i="14" l="1"/>
  <c r="H59" i="14"/>
  <c r="F92" i="14"/>
  <c r="F96" i="14" s="1"/>
  <c r="F90" i="14"/>
  <c r="F94" i="14" s="1"/>
  <c r="D22" i="22"/>
  <c r="E22" i="22"/>
  <c r="D13" i="22"/>
  <c r="D276" i="26" l="1"/>
  <c r="E276" i="26"/>
  <c r="E275" i="26" l="1"/>
  <c r="M35" i="26"/>
  <c r="D275" i="26"/>
  <c r="D273" i="26" s="1"/>
  <c r="L35" i="26"/>
  <c r="D143" i="26"/>
  <c r="F22" i="22" l="1"/>
  <c r="F13" i="22"/>
  <c r="H22" i="22" l="1"/>
  <c r="G22" i="22"/>
  <c r="F165" i="26"/>
  <c r="H165" i="26" l="1"/>
  <c r="G165" i="26"/>
  <c r="F154" i="26"/>
  <c r="F162" i="26"/>
  <c r="F108" i="26" l="1"/>
  <c r="F161" i="26"/>
  <c r="F159" i="26" l="1"/>
  <c r="F107" i="26"/>
  <c r="H108" i="26"/>
  <c r="G108" i="26"/>
  <c r="N33" i="26"/>
  <c r="N34" i="26"/>
  <c r="F46" i="26"/>
  <c r="H107" i="26" l="1"/>
  <c r="G107" i="26"/>
  <c r="G46" i="26"/>
  <c r="H46" i="26"/>
  <c r="F44" i="26"/>
  <c r="D211" i="26"/>
  <c r="D210" i="26" s="1"/>
  <c r="H44" i="26" l="1"/>
  <c r="G44" i="26"/>
  <c r="D229" i="26"/>
  <c r="D223" i="26" s="1"/>
  <c r="D221" i="26" s="1"/>
  <c r="D180" i="26" l="1"/>
  <c r="E273" i="26"/>
  <c r="D260" i="26" l="1"/>
  <c r="D248" i="26"/>
  <c r="D241" i="26"/>
  <c r="E248" i="26"/>
  <c r="D204" i="26"/>
  <c r="G248" i="26" l="1"/>
  <c r="H248" i="26"/>
  <c r="D240" i="26"/>
  <c r="D137" i="26"/>
  <c r="D148" i="26"/>
  <c r="D147" i="26" s="1"/>
  <c r="D214" i="26" l="1"/>
  <c r="L34" i="26" l="1"/>
  <c r="D213" i="26"/>
  <c r="D19" i="26"/>
  <c r="D208" i="26" l="1"/>
  <c r="F123" i="26" l="1"/>
  <c r="F119" i="26" l="1"/>
  <c r="E222" i="26"/>
  <c r="F211" i="26"/>
  <c r="F214" i="26"/>
  <c r="F210" i="26" l="1"/>
  <c r="F213" i="26"/>
  <c r="F137" i="26"/>
  <c r="F208" i="26" l="1"/>
  <c r="F276" i="26"/>
  <c r="F219" i="26"/>
  <c r="H219" i="26" l="1"/>
  <c r="G219" i="26"/>
  <c r="G276" i="26"/>
  <c r="H276" i="26"/>
  <c r="F218" i="26"/>
  <c r="F275" i="26"/>
  <c r="N35" i="26"/>
  <c r="H275" i="26" l="1"/>
  <c r="G275" i="26"/>
  <c r="H218" i="26"/>
  <c r="G218" i="26"/>
  <c r="F216" i="26"/>
  <c r="F273" i="26"/>
  <c r="E260" i="26"/>
  <c r="D257" i="26"/>
  <c r="D256" i="26" s="1"/>
  <c r="D238" i="26" s="1"/>
  <c r="E257" i="26"/>
  <c r="G273" i="26" l="1"/>
  <c r="H273" i="26"/>
  <c r="H216" i="26"/>
  <c r="G216" i="26"/>
  <c r="H257" i="26"/>
  <c r="G257" i="26"/>
  <c r="H260" i="26"/>
  <c r="G260" i="26"/>
  <c r="E256" i="26"/>
  <c r="E241" i="26"/>
  <c r="H256" i="26" l="1"/>
  <c r="G256" i="26"/>
  <c r="E240" i="26"/>
  <c r="H241" i="26"/>
  <c r="G241" i="26"/>
  <c r="E238" i="26"/>
  <c r="F180" i="26"/>
  <c r="H240" i="26" l="1"/>
  <c r="G240" i="26"/>
  <c r="G238" i="26"/>
  <c r="H238" i="26"/>
  <c r="E5" i="24"/>
  <c r="D5" i="24"/>
  <c r="F39" i="26" l="1"/>
  <c r="G39" i="26" l="1"/>
  <c r="H39" i="26"/>
  <c r="E74" i="22"/>
  <c r="E30" i="22"/>
  <c r="E7" i="22"/>
  <c r="D20" i="22"/>
  <c r="E20" i="22"/>
  <c r="F20" i="22"/>
  <c r="E13" i="22"/>
  <c r="D7" i="22"/>
  <c r="F7" i="22"/>
  <c r="F6" i="22" s="1"/>
  <c r="N5" i="9"/>
  <c r="M5" i="9"/>
  <c r="L5" i="9"/>
  <c r="K5" i="9"/>
  <c r="J5" i="9"/>
  <c r="I5" i="9"/>
  <c r="H5" i="9"/>
  <c r="G5" i="9"/>
  <c r="E214" i="26"/>
  <c r="E211" i="26"/>
  <c r="D203" i="26"/>
  <c r="D201" i="26" s="1"/>
  <c r="F204" i="26"/>
  <c r="E204" i="26"/>
  <c r="E203" i="26" s="1"/>
  <c r="E201" i="26" s="1"/>
  <c r="J22" i="22" l="1"/>
  <c r="H20" i="22"/>
  <c r="G20" i="22"/>
  <c r="H13" i="22"/>
  <c r="G13" i="22"/>
  <c r="E210" i="26"/>
  <c r="H211" i="26"/>
  <c r="G211" i="26"/>
  <c r="H214" i="26"/>
  <c r="G214" i="26"/>
  <c r="H204" i="26"/>
  <c r="G204" i="26"/>
  <c r="F203" i="26"/>
  <c r="E213" i="26"/>
  <c r="D6" i="22"/>
  <c r="E6" i="22"/>
  <c r="E180" i="26"/>
  <c r="D186" i="26"/>
  <c r="D185" i="26" s="1"/>
  <c r="F186" i="26"/>
  <c r="E186" i="26"/>
  <c r="E185" i="26" s="1"/>
  <c r="D171" i="26"/>
  <c r="D170" i="26" s="1"/>
  <c r="F171" i="26"/>
  <c r="F170" i="26" s="1"/>
  <c r="E171" i="26"/>
  <c r="E162" i="26"/>
  <c r="D145" i="26"/>
  <c r="F148" i="26"/>
  <c r="E148" i="26"/>
  <c r="E154" i="26"/>
  <c r="E123" i="26"/>
  <c r="D134" i="26"/>
  <c r="F134" i="26"/>
  <c r="E134" i="26"/>
  <c r="D10" i="26"/>
  <c r="D34" i="26"/>
  <c r="F31" i="26"/>
  <c r="E34" i="26"/>
  <c r="E19" i="26"/>
  <c r="H148" i="26" l="1"/>
  <c r="G148" i="26"/>
  <c r="G134" i="26"/>
  <c r="H134" i="26"/>
  <c r="H203" i="26"/>
  <c r="G203" i="26"/>
  <c r="H34" i="26"/>
  <c r="G34" i="26"/>
  <c r="E161" i="26"/>
  <c r="G162" i="26"/>
  <c r="H162" i="26"/>
  <c r="H210" i="26"/>
  <c r="G210" i="26"/>
  <c r="E208" i="26"/>
  <c r="H213" i="26"/>
  <c r="G213" i="26"/>
  <c r="G19" i="26"/>
  <c r="H19" i="26"/>
  <c r="H186" i="26"/>
  <c r="G186" i="26"/>
  <c r="E119" i="26"/>
  <c r="H123" i="26"/>
  <c r="G123" i="26"/>
  <c r="H154" i="26"/>
  <c r="G154" i="26"/>
  <c r="H180" i="26"/>
  <c r="G180" i="26"/>
  <c r="E170" i="26"/>
  <c r="E168" i="26" s="1"/>
  <c r="H171" i="26"/>
  <c r="G171" i="26"/>
  <c r="F7" i="26"/>
  <c r="G6" i="22"/>
  <c r="H6" i="22"/>
  <c r="E9" i="26"/>
  <c r="M32" i="26"/>
  <c r="N32" i="26"/>
  <c r="F201" i="26"/>
  <c r="H10" i="26"/>
  <c r="G10" i="26"/>
  <c r="D9" i="26"/>
  <c r="L36" i="26"/>
  <c r="D168" i="26"/>
  <c r="F185" i="26"/>
  <c r="F168" i="26" s="1"/>
  <c r="F147" i="26"/>
  <c r="E31" i="26"/>
  <c r="H31" i="26" s="1"/>
  <c r="D31" i="26"/>
  <c r="E147" i="26"/>
  <c r="E145" i="26" s="1"/>
  <c r="G119" i="26" l="1"/>
  <c r="H119" i="26"/>
  <c r="G31" i="26"/>
  <c r="E159" i="26"/>
  <c r="H161" i="26"/>
  <c r="G161" i="26"/>
  <c r="H147" i="26"/>
  <c r="G147" i="26"/>
  <c r="G208" i="26"/>
  <c r="H208" i="26"/>
  <c r="H201" i="26"/>
  <c r="G201" i="26"/>
  <c r="G185" i="26"/>
  <c r="H185" i="26"/>
  <c r="H170" i="26"/>
  <c r="G170" i="26"/>
  <c r="F145" i="26"/>
  <c r="D7" i="26"/>
  <c r="L37" i="26"/>
  <c r="E7" i="26"/>
  <c r="H168" i="26" l="1"/>
  <c r="H145" i="26"/>
  <c r="G145" i="26"/>
  <c r="G159" i="26"/>
  <c r="H159" i="26"/>
  <c r="G168" i="26"/>
  <c r="F89" i="14"/>
  <c r="C25" i="14"/>
  <c r="F50" i="14"/>
  <c r="E50" i="14"/>
  <c r="D50" i="14"/>
  <c r="C50" i="14"/>
  <c r="H49" i="14"/>
  <c r="H48" i="14"/>
  <c r="G48" i="14"/>
  <c r="H47" i="14"/>
  <c r="G47" i="14"/>
  <c r="H46" i="14"/>
  <c r="G46" i="14"/>
  <c r="H45" i="14"/>
  <c r="G45" i="14"/>
  <c r="C81" i="14"/>
  <c r="C93" i="14" s="1"/>
  <c r="D81" i="14"/>
  <c r="D93" i="14" s="1"/>
  <c r="E81" i="14"/>
  <c r="E93" i="14" s="1"/>
  <c r="F81" i="14"/>
  <c r="E85" i="14"/>
  <c r="F85" i="14"/>
  <c r="F93" i="14" l="1"/>
  <c r="H50" i="14"/>
  <c r="G6" i="24"/>
  <c r="H7" i="22" l="1"/>
  <c r="G7" i="22"/>
  <c r="N7" i="9" l="1"/>
  <c r="N8" i="9"/>
  <c r="N13" i="9"/>
  <c r="N36" i="9"/>
  <c r="M7" i="9"/>
  <c r="M8" i="9"/>
  <c r="M13" i="9"/>
  <c r="M36" i="9"/>
  <c r="F6" i="24"/>
  <c r="H9" i="26"/>
  <c r="G9" i="26"/>
  <c r="H30" i="22"/>
  <c r="H41" i="22"/>
  <c r="H43" i="22"/>
  <c r="H51" i="22"/>
  <c r="H71" i="22"/>
  <c r="H74" i="22"/>
  <c r="H90" i="22"/>
  <c r="G30" i="22"/>
  <c r="G41" i="22"/>
  <c r="G43" i="22"/>
  <c r="G51" i="22"/>
  <c r="G71" i="22"/>
  <c r="G74" i="22"/>
  <c r="G90" i="22"/>
  <c r="D133" i="26" l="1"/>
  <c r="D142" i="26"/>
  <c r="F143" i="26"/>
  <c r="E143" i="26"/>
  <c r="E137" i="26"/>
  <c r="H7" i="26"/>
  <c r="G5" i="24"/>
  <c r="P36" i="9"/>
  <c r="P7" i="9"/>
  <c r="P8" i="9"/>
  <c r="O36" i="9"/>
  <c r="G7" i="26"/>
  <c r="P13" i="9"/>
  <c r="O8" i="9"/>
  <c r="O7" i="9"/>
  <c r="O13" i="9"/>
  <c r="F5" i="24"/>
  <c r="H137" i="26" l="1"/>
  <c r="G137" i="26"/>
  <c r="G143" i="26"/>
  <c r="H143" i="26"/>
  <c r="M36" i="26"/>
  <c r="M37" i="26" s="1"/>
  <c r="N36" i="26"/>
  <c r="N37" i="26" s="1"/>
  <c r="L9" i="26"/>
  <c r="D117" i="26"/>
  <c r="E142" i="26"/>
  <c r="F133" i="26"/>
  <c r="F142" i="26"/>
  <c r="E133" i="26"/>
  <c r="H71" i="14"/>
  <c r="G71" i="14"/>
  <c r="H53" i="14"/>
  <c r="H54" i="14"/>
  <c r="H55" i="14"/>
  <c r="H56" i="14"/>
  <c r="H58" i="14"/>
  <c r="H60" i="14"/>
  <c r="H61" i="14"/>
  <c r="H62" i="14"/>
  <c r="H63" i="14"/>
  <c r="H65" i="14"/>
  <c r="H66" i="14"/>
  <c r="H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7" i="14"/>
  <c r="H28" i="14"/>
  <c r="H29" i="14"/>
  <c r="H30" i="14"/>
  <c r="H32" i="14"/>
  <c r="H33" i="14"/>
  <c r="H35" i="14"/>
  <c r="H37" i="14"/>
  <c r="H38" i="14"/>
  <c r="H40" i="14"/>
  <c r="H41" i="14"/>
  <c r="H133" i="26" l="1"/>
  <c r="G133" i="26"/>
  <c r="H142" i="26"/>
  <c r="G142" i="26"/>
  <c r="M9" i="26"/>
  <c r="N9" i="26"/>
  <c r="E117" i="26"/>
  <c r="F117" i="26"/>
  <c r="H8" i="14"/>
  <c r="G18" i="14"/>
  <c r="G19" i="14"/>
  <c r="G20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3" i="14"/>
  <c r="G34" i="14"/>
  <c r="G35" i="14"/>
  <c r="G37" i="14"/>
  <c r="G38" i="14"/>
  <c r="G40" i="14"/>
  <c r="G41" i="14"/>
  <c r="G8" i="14"/>
  <c r="H117" i="26" l="1"/>
  <c r="G117" i="26"/>
  <c r="C70" i="14"/>
  <c r="D70" i="14"/>
  <c r="E70" i="14"/>
  <c r="F70" i="14"/>
  <c r="G70" i="14" l="1"/>
  <c r="H70" i="14"/>
  <c r="D57" i="14"/>
  <c r="D52" i="14"/>
  <c r="C52" i="14"/>
  <c r="D64" i="14"/>
  <c r="E64" i="14"/>
  <c r="F64" i="14"/>
  <c r="C64" i="14"/>
  <c r="E57" i="14"/>
  <c r="F57" i="14"/>
  <c r="E52" i="14"/>
  <c r="F52" i="14"/>
  <c r="E25" i="14"/>
  <c r="D22" i="14"/>
  <c r="E22" i="14"/>
  <c r="E42" i="14" s="1"/>
  <c r="C42" i="14"/>
  <c r="D42" i="14" l="1"/>
  <c r="F22" i="14"/>
  <c r="H22" i="14" s="1"/>
  <c r="H64" i="14"/>
  <c r="H57" i="14"/>
  <c r="C68" i="14"/>
  <c r="E68" i="14"/>
  <c r="D68" i="14"/>
  <c r="F68" i="14"/>
  <c r="D25" i="14"/>
  <c r="D16" i="14"/>
  <c r="F16" i="14" s="1"/>
  <c r="E16" i="14"/>
  <c r="C16" i="14"/>
  <c r="D9" i="14"/>
  <c r="E9" i="14"/>
  <c r="C9" i="14"/>
  <c r="F42" i="14" l="1"/>
  <c r="G22" i="14"/>
  <c r="F9" i="14"/>
  <c r="H9" i="14" s="1"/>
  <c r="D15" i="14"/>
  <c r="F25" i="14"/>
  <c r="D31" i="14"/>
  <c r="D36" i="14" s="1"/>
  <c r="C43" i="14"/>
  <c r="D43" i="14"/>
  <c r="F43" i="14" s="1"/>
  <c r="E15" i="14"/>
  <c r="E31" i="14" s="1"/>
  <c r="E43" i="14"/>
  <c r="G42" i="14"/>
  <c r="H42" i="14"/>
  <c r="H16" i="14"/>
  <c r="H68" i="14"/>
  <c r="G9" i="14"/>
  <c r="G16" i="14"/>
  <c r="H25" i="14" l="1"/>
  <c r="G25" i="14"/>
  <c r="E36" i="14"/>
  <c r="G43" i="14"/>
  <c r="H43" i="14"/>
  <c r="E39" i="14" l="1"/>
  <c r="F31" i="14" l="1"/>
  <c r="F15" i="14"/>
  <c r="C15" i="14"/>
  <c r="D39" i="14" l="1"/>
  <c r="F39" i="14" s="1"/>
  <c r="G15" i="14"/>
  <c r="H15" i="14"/>
  <c r="H31" i="14"/>
  <c r="G31" i="14"/>
  <c r="C31" i="14"/>
  <c r="C36" i="14" l="1"/>
  <c r="C39" i="14" s="1"/>
  <c r="F36" i="14"/>
  <c r="H36" i="14" s="1"/>
  <c r="H39" i="14"/>
  <c r="G39" i="14"/>
  <c r="G36" i="14" l="1"/>
</calcChain>
</file>

<file path=xl/sharedStrings.xml><?xml version="1.0" encoding="utf-8"?>
<sst xmlns="http://schemas.openxmlformats.org/spreadsheetml/2006/main" count="822" uniqueCount="399">
  <si>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</si>
  <si>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</si>
  <si>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</si>
  <si>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</si>
  <si>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</si>
  <si>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</si>
  <si>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</si>
  <si>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</si>
  <si>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</si>
  <si>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</si>
  <si>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</si>
  <si>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</si>
  <si>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</si>
  <si>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</si>
  <si>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</si>
  <si>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</si>
  <si>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</si>
  <si>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</si>
  <si>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</si>
  <si>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</si>
  <si>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</si>
  <si>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</si>
  <si>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</si>
  <si>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</si>
  <si>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</si>
  <si>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</si>
  <si>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</si>
  <si>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</si>
  <si>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</si>
  <si>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</si>
  <si>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</si>
  <si>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</si>
  <si>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</si>
  <si>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</si>
  <si>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</si>
  <si>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</si>
  <si>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</si>
  <si>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</si>
  <si>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</si>
  <si>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</si>
  <si>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</si>
  <si>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</si>
  <si>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</si>
  <si>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</si>
  <si>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</si>
  <si>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</si>
  <si>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</si>
  <si>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</si>
  <si>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</si>
  <si>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</si>
  <si>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</si>
  <si>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</si>
  <si>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</si>
  <si>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</si>
  <si>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</si>
  <si>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</si>
  <si>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</si>
  <si>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</si>
  <si>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</si>
  <si>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</si>
  <si>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</si>
  <si>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</si>
  <si>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</si>
  <si>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</si>
  <si>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</si>
  <si>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</si>
  <si>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</si>
  <si>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</si>
  <si>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</si>
  <si>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</si>
  <si>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</si>
  <si>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</si>
  <si>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</si>
  <si>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</si>
  <si>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</si>
  <si>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</si>
  <si>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</si>
  <si>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</si>
  <si>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</si>
  <si>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</si>
  <si>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</si>
  <si>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</si>
  <si>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</si>
  <si>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</si>
  <si>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</si>
  <si>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</si>
  <si>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</si>
  <si>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</si>
  <si>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</si>
  <si>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</si>
  <si>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</si>
  <si>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</si>
  <si>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</si>
  <si>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</si>
  <si>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</si>
  <si>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</si>
  <si>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</si>
  <si>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</si>
  <si>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</si>
  <si>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</si>
  <si>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</si>
  <si>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</si>
  <si>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</si>
  <si>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</si>
  <si>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</si>
  <si>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</si>
  <si>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</si>
  <si>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</si>
  <si>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</si>
  <si>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</si>
  <si>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</si>
  <si>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</si>
  <si>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</si>
  <si>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</si>
  <si>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</si>
  <si>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</si>
  <si>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</si>
  <si>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</si>
  <si>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</si>
  <si>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</si>
  <si>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</si>
  <si>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</si>
  <si>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</si>
  <si>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</si>
  <si>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</si>
  <si>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</si>
  <si>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</si>
  <si>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</si>
  <si>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</si>
  <si>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</si>
  <si>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</si>
  <si>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х</t>
  </si>
  <si>
    <t>Елементи операційних витрат:</t>
  </si>
  <si>
    <t>Залучення кредитних коштів</t>
  </si>
  <si>
    <t>Бюджетне фінансування</t>
  </si>
  <si>
    <t>Власні кошти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</si>
  <si>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</si>
  <si>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</si>
  <si>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</si>
  <si>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 xml:space="preserve">медикаменти та перев'язувальні матеріали </t>
  </si>
  <si>
    <t>харчування</t>
  </si>
  <si>
    <t>витрати на сировину для молочної кухні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</si>
  <si>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</si>
  <si>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</si>
  <si>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</si>
  <si>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</si>
  <si>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</si>
  <si>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</si>
  <si>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</si>
  <si>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скринінгові дослідження новонароджених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</si>
  <si>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</si>
  <si>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</si>
  <si>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</si>
  <si>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</si>
  <si>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</si>
  <si>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</si>
  <si>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</si>
  <si>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</si>
  <si>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</si>
  <si>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</si>
  <si>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 xml:space="preserve">охоронна сигналізація </t>
  </si>
  <si>
    <t>1.3.2</t>
  </si>
  <si>
    <t>1.3.3</t>
  </si>
  <si>
    <t>2.1.1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</si>
  <si>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</si>
  <si>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</si>
  <si>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2.1.3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</si>
  <si>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</si>
  <si>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</si>
  <si>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</si>
  <si>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</si>
  <si>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супровід програмного забезпечення, медіа-супровід, обслуговування сайту, КЕП</t>
  </si>
  <si>
    <t>страхування цивільної відповідальності власників транспортних засобів</t>
  </si>
  <si>
    <t>утилізація, дезінфекція, дезінсекція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</si>
  <si>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</si>
  <si>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</si>
  <si>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</si>
  <si>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</si>
  <si>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</si>
  <si>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послуги з навчання</t>
  </si>
  <si>
    <t>Інші  адміністративні витрати, усього, у тому числі:</t>
  </si>
  <si>
    <t xml:space="preserve">За рахунок коштів отриманих від реалізації продукції молочної кухні </t>
  </si>
  <si>
    <t>3.1.1</t>
  </si>
  <si>
    <t>паливно-мастильні матеріали</t>
  </si>
  <si>
    <t>Інші витрати, у сього, у т.ч.:</t>
  </si>
  <si>
    <t>ремонт та технічне обслуговування немедичного обладнання</t>
  </si>
  <si>
    <t>страхування цивільно-правової відповідальності власників транспортних засобів</t>
  </si>
  <si>
    <t>4.1.1</t>
  </si>
  <si>
    <t>Інші  витрати, усього, у т.ч.:</t>
  </si>
  <si>
    <t>податок на додану вартість</t>
  </si>
  <si>
    <t>7.</t>
  </si>
  <si>
    <t>8.</t>
  </si>
  <si>
    <t>8.1.1</t>
  </si>
  <si>
    <t>витратні матеріали для хворих, що знаходяться на лікуванні у відділенні анестезіології  2019-n CoV</t>
  </si>
  <si>
    <t>витратні матеріали для хворих на цукровий діабет</t>
  </si>
  <si>
    <t>медикаменти 2019-n CoV, предмети матеріали обладнання (в т.ч. медичного) та інвентарю</t>
  </si>
  <si>
    <t>медикаменти та перв'язувальні матеріали</t>
  </si>
  <si>
    <t>програма "СТОП ГРИП"</t>
  </si>
  <si>
    <t xml:space="preserve">хімреактиви, реагенти, тощо </t>
  </si>
  <si>
    <t xml:space="preserve">оплата електроенергії </t>
  </si>
  <si>
    <t xml:space="preserve">вивіз  сміття </t>
  </si>
  <si>
    <t>9.</t>
  </si>
  <si>
    <t>10.</t>
  </si>
  <si>
    <t>Кошти орендарів (енергоносії)</t>
  </si>
  <si>
    <t>Надходження від відсотків за залишками коштів на депозитних рахунках</t>
  </si>
  <si>
    <t>ремонт та технічне обслуговування медичного обладнання</t>
  </si>
  <si>
    <t>банківські послуги</t>
  </si>
  <si>
    <t>Володимир ПРИСЯЖНЮК</t>
  </si>
  <si>
    <t>за І квартал 2022 року</t>
  </si>
  <si>
    <t>кошти державного бюджету від Національної служби здоров'я України</t>
  </si>
  <si>
    <t>кошти від реалізації продукції молочної кухні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</si>
  <si>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 xml:space="preserve"> (платні палати, стажування інтернів, відшкодування від страхової компанії)</t>
    </r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</si>
  <si>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</si>
  <si>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благодійна допомога в грошовому еквіваленті</t>
  </si>
  <si>
    <t>благодійна допомога в натуральній формі</t>
  </si>
  <si>
    <t>дохід від курсової різниці на залишок коштів валютного рахунку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</si>
  <si>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</si>
  <si>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</si>
  <si>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господарські товари, технічні засоби, енергозберігаючі лампочки,  будівельні матеріали, засоби для прибирання та гігієни</t>
  </si>
  <si>
    <t>ремонт та технічне обслуговування ліфтів</t>
  </si>
  <si>
    <t xml:space="preserve">ремонт приміщень </t>
  </si>
  <si>
    <t>ремонт та технінче обслуговування ПК та оргтехніки</t>
  </si>
  <si>
    <t>ПДВ</t>
  </si>
  <si>
    <t xml:space="preserve">пільгова пенсія </t>
  </si>
  <si>
    <t xml:space="preserve">Холодильна шафа ХШВ Shine (2 шт)                  </t>
  </si>
  <si>
    <t xml:space="preserve">Генератор Covidian </t>
  </si>
  <si>
    <t>12.</t>
  </si>
  <si>
    <t>Благодійна допомога в натуральній формі</t>
  </si>
  <si>
    <t xml:space="preserve">канцтовари, періодичні видання </t>
  </si>
  <si>
    <t>супровід програмного забезпечення, медіа-супровід, обслуговування сайту,кваліфікований електронний підпис</t>
  </si>
  <si>
    <t>13.</t>
  </si>
  <si>
    <t xml:space="preserve">Благодійна допомога в грошовому еквіваленті </t>
  </si>
  <si>
    <t xml:space="preserve">медикаменти та перевязувальні матеріали </t>
  </si>
  <si>
    <t xml:space="preserve">ремонт та технічне облсуговування ліфтів </t>
  </si>
  <si>
    <t xml:space="preserve">пенсія </t>
  </si>
  <si>
    <t xml:space="preserve">послуги  з навчання </t>
  </si>
  <si>
    <t>17.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</si>
  <si>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</si>
  <si>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</si>
  <si>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металобрухт</t>
  </si>
  <si>
    <t>5.</t>
  </si>
  <si>
    <t xml:space="preserve"> </t>
  </si>
  <si>
    <t>відшкодування коштів (згідно акту за результатами ревізії, та акту звірки)</t>
  </si>
  <si>
    <t>Кошти бюджету ВМТГ</t>
  </si>
  <si>
    <t>інформаційно-консультаційні послуги</t>
  </si>
  <si>
    <t>паливно-мастильні метеріали</t>
  </si>
  <si>
    <t xml:space="preserve">науково-технічні роботи </t>
  </si>
  <si>
    <t xml:space="preserve">ремонт та технічне обслуговування авто </t>
  </si>
  <si>
    <t xml:space="preserve">послуги з навчання </t>
  </si>
  <si>
    <t>публікація в газеті</t>
  </si>
  <si>
    <t>Кошти державного бюджету від Національної служби здоров'я України за рахунок залишку коштів на рахунок</t>
  </si>
  <si>
    <t>Кошти від надання послуг з медичної діяльності, відшкодування від страхової компанії</t>
  </si>
  <si>
    <t>пенсія</t>
  </si>
  <si>
    <t xml:space="preserve">публікація в газеті </t>
  </si>
  <si>
    <t>кошти від надання послуг з  медичної діяльності, відшкодування від страхової компанії</t>
  </si>
  <si>
    <t>дохід від оприбуткування вторсировини (металобрухт, медичних відходів)</t>
  </si>
  <si>
    <t>Дохід від оприбуткування вторсировини (металобрухт, медичних відходів)</t>
  </si>
  <si>
    <t>профвнески</t>
  </si>
  <si>
    <t>Директор КНП "ВМКЛ"ЦМтаД"</t>
  </si>
  <si>
    <t>Кошти бюджету ВМТГ (залишки минулих періодів)</t>
  </si>
  <si>
    <t>5.1</t>
  </si>
  <si>
    <t>5.1.1</t>
  </si>
  <si>
    <t>6.</t>
  </si>
  <si>
    <t>14.</t>
  </si>
  <si>
    <t>15.</t>
  </si>
  <si>
    <t>16.</t>
  </si>
  <si>
    <t>Кошти від надання послуг з медичної діяльності, відшкодування від страхової компанії (залишик минулих періодів)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</si>
  <si>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>(платні палати, стажування інтернів, відшкодування від страхової компанії)</t>
    </r>
  </si>
  <si>
    <t>списання металобрухту</t>
  </si>
  <si>
    <t>Директор КНП"ВМКЛ"ЦМтаД"</t>
  </si>
  <si>
    <r>
      <t>Директор КНП "ВМКЛ"ЦМтаД"</t>
    </r>
    <r>
      <rPr>
        <u/>
        <sz val="16"/>
        <color theme="1"/>
        <rFont val="Times New Roman"/>
        <family val="1"/>
        <charset val="204"/>
      </rPr>
      <t xml:space="preserve"> </t>
    </r>
  </si>
  <si>
    <t>Розшифровка до розділу  IV "Капітальні інвестиції" за джерелами надходження</t>
  </si>
  <si>
    <t>кошти Вінницької міської  територіальної громади (ВМТГ)</t>
  </si>
  <si>
    <t>кошти Вінницької міської  територіальної громади (ВМТГ) (залиши минулих періодів)</t>
  </si>
  <si>
    <t>Факт                   за І квартал 2022 року</t>
  </si>
  <si>
    <t>План 
на І квартал  2023 року</t>
  </si>
  <si>
    <t>Факт 
за І квартал 2023 року</t>
  </si>
  <si>
    <t>план 
на І квартал 2023 року</t>
  </si>
  <si>
    <t>факт 
за І квартал 2023 року</t>
  </si>
  <si>
    <t>План 
на І квартал 2023 року</t>
  </si>
  <si>
    <t>за І квартал 2023 року</t>
  </si>
  <si>
    <t>Звітний за І квартал 2023 року</t>
  </si>
  <si>
    <t xml:space="preserve">Генератор Kraftwele SDG18000S-A з вмонтованим контролером AVR </t>
  </si>
  <si>
    <t xml:space="preserve">Транспортна каталка Stryker   </t>
  </si>
  <si>
    <t xml:space="preserve">Отоскоп / Офтальмоскоп Welch Allun  </t>
  </si>
  <si>
    <t xml:space="preserve">ДБЖ PowerWalker VFI 1000    </t>
  </si>
  <si>
    <t xml:space="preserve">Мікрохвильова піч ERGO EM-2075     </t>
  </si>
  <si>
    <t>Сфігмоманометр, Babyphon, 1 трубка, з 3 манжетами 5/7/10 см</t>
  </si>
  <si>
    <t xml:space="preserve">Стетоскоп неонатальний (двоголовий нагрудник) </t>
  </si>
  <si>
    <t xml:space="preserve">Технічний нагляд </t>
  </si>
  <si>
    <t xml:space="preserve">Стетоскоп дитячий (двоголовий нагрудник)  </t>
  </si>
  <si>
    <t xml:space="preserve">Полиця            </t>
  </si>
  <si>
    <t xml:space="preserve">Регулятор швидкості потока кисню (Флоуметр-DIN)  </t>
  </si>
  <si>
    <t>Регулятор швидкості потока кисню (Флоуметр-DIN)</t>
  </si>
  <si>
    <t xml:space="preserve">Комод на 4 шухляди "CAT" 940х450х390 мм, сірий </t>
  </si>
  <si>
    <t>Ваги підлогові електронні SCARLETT SC-BS33E077 йога коти</t>
  </si>
  <si>
    <t xml:space="preserve">Диспенсер для дезінфекції рук (ручний, ліктєвий) 1л </t>
  </si>
  <si>
    <t xml:space="preserve">Дозатор ліктьовий 1л, 9,4*10*25 см, хром </t>
  </si>
  <si>
    <t>Роздавальник складн. паперов. рушників білий V-620</t>
  </si>
  <si>
    <t xml:space="preserve">ДБЖ PowerWalker VFI 1000 </t>
  </si>
  <si>
    <t xml:space="preserve">Киснева розетка стандартна DIN     </t>
  </si>
  <si>
    <t xml:space="preserve">Подушка стьобана екопух 60х60 з чохлом  </t>
  </si>
  <si>
    <t xml:space="preserve">Стіл комп'ютерний </t>
  </si>
  <si>
    <t xml:space="preserve">Ролети Льон 0875 (молочні)   </t>
  </si>
  <si>
    <t xml:space="preserve">Ролети 12 ВН-1203 (день-ніч)  </t>
  </si>
  <si>
    <t xml:space="preserve">Ролети Лазур 2070 (рожеві) </t>
  </si>
  <si>
    <t>Автоматичний перемикач (блок ATS)</t>
  </si>
  <si>
    <t xml:space="preserve">Гініометр медичний </t>
  </si>
  <si>
    <t xml:space="preserve">Стетоскоп  </t>
  </si>
  <si>
    <t>Капітальний ремонт приміщень четвертого поверху пологового будинку міської лікарні «Центр матері та дитини» за адресою: Україна, м. Вінниця, вул. Синьоводська, 142</t>
  </si>
  <si>
    <t xml:space="preserve">адвокатські послуги </t>
  </si>
  <si>
    <t>з НСЗУ</t>
  </si>
  <si>
    <t xml:space="preserve">Кошти від надання платних послуг </t>
  </si>
  <si>
    <t>3.1.</t>
  </si>
  <si>
    <t xml:space="preserve">витрати на сировину для молочної кухні </t>
  </si>
  <si>
    <t xml:space="preserve">паливно-мастильні матеріали </t>
  </si>
  <si>
    <t xml:space="preserve">оренда медичного обладнання </t>
  </si>
  <si>
    <t xml:space="preserve">ремонт приміщення </t>
  </si>
  <si>
    <t>адвокатські послуги</t>
  </si>
  <si>
    <t xml:space="preserve">банківські послуги </t>
  </si>
  <si>
    <t>дезінфекція, дезінсекція</t>
  </si>
  <si>
    <t>3.1.2</t>
  </si>
  <si>
    <t xml:space="preserve">дослідження води </t>
  </si>
  <si>
    <t>адміністративні послуги</t>
  </si>
  <si>
    <t xml:space="preserve">утилізація медичних відходів </t>
  </si>
  <si>
    <t>1.3.4.</t>
  </si>
  <si>
    <t xml:space="preserve">Забезпечення шляхом організації надання медичної допомоги із залученням лікарів-інтернів </t>
  </si>
  <si>
    <t xml:space="preserve">нарахування амортизації на безоплатно отримані активи </t>
  </si>
  <si>
    <t>4.1.</t>
  </si>
  <si>
    <t>4.1.2.</t>
  </si>
  <si>
    <t>4.1.3.</t>
  </si>
  <si>
    <t>4.1.4.</t>
  </si>
  <si>
    <t>4.2.</t>
  </si>
  <si>
    <t>4.2.1.</t>
  </si>
  <si>
    <t>4.2.2</t>
  </si>
  <si>
    <t>4.3.</t>
  </si>
  <si>
    <t>4.3.1.</t>
  </si>
  <si>
    <t>5.1.2.</t>
  </si>
  <si>
    <t>6.1.</t>
  </si>
  <si>
    <t>6.1.1.</t>
  </si>
  <si>
    <t>6.1.2</t>
  </si>
  <si>
    <t>6.1.3.</t>
  </si>
  <si>
    <t>6.2.</t>
  </si>
  <si>
    <t>6.2.1.</t>
  </si>
  <si>
    <t>6.2.2.</t>
  </si>
  <si>
    <t>6.3.</t>
  </si>
  <si>
    <t>6.3.1.</t>
  </si>
  <si>
    <t>7.1.</t>
  </si>
  <si>
    <t>7.1.1.</t>
  </si>
  <si>
    <t>7.1.2.</t>
  </si>
  <si>
    <t>7.1.3.</t>
  </si>
  <si>
    <t>7.1.4.</t>
  </si>
  <si>
    <t>8.1.</t>
  </si>
  <si>
    <t>8.1.2.</t>
  </si>
  <si>
    <t>9.1.</t>
  </si>
  <si>
    <t>9.1.1.</t>
  </si>
  <si>
    <t>9.1.2.</t>
  </si>
  <si>
    <t>9.3.</t>
  </si>
  <si>
    <t>9.3.1.</t>
  </si>
  <si>
    <t>10.1.</t>
  </si>
  <si>
    <t>10.1.1.</t>
  </si>
  <si>
    <t xml:space="preserve">кошти від надання платних послуг </t>
  </si>
  <si>
    <t>4.1.5.</t>
  </si>
  <si>
    <t>кошти для забезпечення шляхом організації надання медичної допомоги із залученням лікарів-інтернів</t>
  </si>
  <si>
    <t xml:space="preserve">дезінфекція, дезінсекція </t>
  </si>
  <si>
    <t xml:space="preserve">ремонт та технічне обслуговування медичного обладання </t>
  </si>
  <si>
    <t xml:space="preserve">Інші операційні витрати 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</si>
  <si>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</si>
  <si>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15.1</t>
  </si>
  <si>
    <t>15.1.1</t>
  </si>
  <si>
    <t xml:space="preserve">куросурфи </t>
  </si>
  <si>
    <t xml:space="preserve">Система редукування тиску кисню        </t>
  </si>
  <si>
    <t>Інші джерела (НСЗУ, гуманітарна допомога)</t>
  </si>
  <si>
    <t xml:space="preserve">ЗВІТ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"Вінницька міська клінічна лікарня "Центр матері та дитини"
за І квартал 2023 року </t>
  </si>
  <si>
    <t>11.</t>
  </si>
  <si>
    <t>11.1</t>
  </si>
  <si>
    <t>11.1.1</t>
  </si>
  <si>
    <t>12.1</t>
  </si>
  <si>
    <t>12.1.1</t>
  </si>
  <si>
    <t>12.2</t>
  </si>
  <si>
    <t>12.2.1</t>
  </si>
  <si>
    <t>13.1</t>
  </si>
  <si>
    <t>13.1.1</t>
  </si>
  <si>
    <t>14.1</t>
  </si>
  <si>
    <t>14.1.1</t>
  </si>
  <si>
    <t>14.1.2</t>
  </si>
  <si>
    <t>16.1</t>
  </si>
  <si>
    <t>16.1.1</t>
  </si>
  <si>
    <t>16.1.2</t>
  </si>
  <si>
    <t>16.1.3</t>
  </si>
  <si>
    <t>16.2</t>
  </si>
  <si>
    <t>16.2.1</t>
  </si>
  <si>
    <t>16.2.2</t>
  </si>
  <si>
    <t>16.3</t>
  </si>
  <si>
    <t>16.3.1</t>
  </si>
  <si>
    <t>17.1</t>
  </si>
  <si>
    <t>17.1.1</t>
  </si>
  <si>
    <t>17.2</t>
  </si>
  <si>
    <t>17.2.1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</si>
</sst>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314">
    <xf numFmtId="0" fontId="0" fillId="0" borderId="0" xfId="0"/>
    <xf numFmtId="178" fontId="66" fillId="29" borderId="3" xfId="0" applyNumberFormat="1" applyFont="1" applyFill="1" applyBorder="1" applyAlignment="1">
      <alignment horizontal="center" vertical="center" wrapText="1"/>
    </xf>
    <xf numFmtId="170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5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65" fillId="29" borderId="0" xfId="0" applyNumberFormat="1" applyFont="1" applyFill="1" applyBorder="1" applyAlignment="1">
      <alignment horizontal="center" vertical="center" wrapText="1"/>
    </xf>
    <xf numFmtId="178" fontId="64" fillId="29" borderId="3" xfId="0" applyNumberFormat="1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2" fillId="0" borderId="0" xfId="0" applyFont="1" applyFill="1" applyAlignment="1"/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3" fillId="0" borderId="0" xfId="0" applyFont="1" applyFill="1" applyAlignment="1">
      <alignment vertical="center"/>
    </xf>
    <xf numFmtId="0" fontId="67" fillId="29" borderId="3" xfId="0" applyFont="1" applyFill="1" applyBorder="1" applyAlignment="1">
      <alignment horizontal="center" vertical="center"/>
    </xf>
    <xf numFmtId="178" fontId="75" fillId="29" borderId="3" xfId="0" applyNumberFormat="1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62" fillId="29" borderId="18" xfId="0" applyFont="1" applyFill="1" applyBorder="1" applyAlignment="1">
      <alignment horizontal="center" vertical="center"/>
    </xf>
    <xf numFmtId="0" fontId="62" fillId="22" borderId="17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vertical="center"/>
    </xf>
    <xf numFmtId="0" fontId="75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 wrapText="1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horizontal="left" vertical="center"/>
    </xf>
    <xf numFmtId="0" fontId="68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 applyProtection="1">
      <alignment horizontal="left" vertical="center"/>
      <protection locked="0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quotePrefix="1" applyFont="1" applyFill="1" applyBorder="1" applyAlignment="1">
      <alignment horizontal="center" vertical="center"/>
    </xf>
    <xf numFmtId="170" fontId="68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vertical="center" wrapText="1"/>
    </xf>
    <xf numFmtId="169" fontId="62" fillId="29" borderId="0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right" vertical="center" wrapText="1"/>
    </xf>
    <xf numFmtId="179" fontId="62" fillId="29" borderId="0" xfId="0" applyNumberFormat="1" applyFont="1" applyFill="1" applyBorder="1" applyAlignment="1">
      <alignment vertical="center"/>
    </xf>
    <xf numFmtId="177" fontId="62" fillId="29" borderId="0" xfId="0" applyNumberFormat="1" applyFont="1" applyFill="1" applyBorder="1" applyAlignment="1">
      <alignment vertical="center"/>
    </xf>
    <xf numFmtId="0" fontId="70" fillId="29" borderId="0" xfId="0" applyFont="1" applyFill="1" applyBorder="1" applyAlignment="1">
      <alignment horizontal="center" wrapText="1"/>
    </xf>
    <xf numFmtId="0" fontId="75" fillId="29" borderId="3" xfId="0" applyFont="1" applyFill="1" applyBorder="1" applyAlignment="1">
      <alignment horizontal="left" vertical="center" wrapText="1"/>
    </xf>
    <xf numFmtId="0" fontId="62" fillId="29" borderId="3" xfId="0" applyFont="1" applyFill="1" applyBorder="1" applyAlignment="1">
      <alignment horizontal="center" vertical="center" wrapText="1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85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wrapText="1"/>
    </xf>
    <xf numFmtId="0" fontId="66" fillId="29" borderId="3" xfId="182" applyFont="1" applyFill="1" applyBorder="1" applyAlignment="1">
      <alignment vertical="center" wrapText="1"/>
      <protection locked="0"/>
    </xf>
    <xf numFmtId="0" fontId="62" fillId="29" borderId="3" xfId="0" applyFont="1" applyFill="1" applyBorder="1" applyAlignment="1">
      <alignment horizontal="left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178" fontId="81" fillId="29" borderId="3" xfId="0" applyNumberFormat="1" applyFont="1" applyFill="1" applyBorder="1" applyAlignment="1">
      <alignment vertical="center"/>
    </xf>
    <xf numFmtId="178" fontId="83" fillId="29" borderId="3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179" fontId="63" fillId="0" borderId="3" xfId="0" applyNumberFormat="1" applyFont="1" applyFill="1" applyBorder="1" applyAlignment="1">
      <alignment horizontal="center" vertical="center" wrapText="1"/>
    </xf>
    <xf numFmtId="169" fontId="65" fillId="0" borderId="3" xfId="0" applyNumberFormat="1" applyFont="1" applyFill="1" applyBorder="1" applyAlignment="1">
      <alignment horizontal="right" vertical="center"/>
    </xf>
    <xf numFmtId="0" fontId="63" fillId="0" borderId="3" xfId="0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center" vertical="center" wrapText="1"/>
    </xf>
    <xf numFmtId="178" fontId="65" fillId="0" borderId="3" xfId="0" applyNumberFormat="1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 wrapText="1"/>
    </xf>
    <xf numFmtId="178" fontId="65" fillId="0" borderId="3" xfId="0" applyNumberFormat="1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center" vertical="center"/>
    </xf>
    <xf numFmtId="179" fontId="65" fillId="0" borderId="0" xfId="0" applyNumberFormat="1" applyFont="1" applyFill="1" applyBorder="1" applyAlignment="1">
      <alignment vertical="center"/>
    </xf>
    <xf numFmtId="0" fontId="78" fillId="0" borderId="16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vertical="center" wrapText="1"/>
    </xf>
    <xf numFmtId="0" fontId="63" fillId="0" borderId="3" xfId="0" applyFont="1" applyFill="1" applyBorder="1" applyAlignment="1">
      <alignment horizontal="center" vertical="center" wrapText="1"/>
    </xf>
    <xf numFmtId="170" fontId="65" fillId="0" borderId="3" xfId="0" applyNumberFormat="1" applyFont="1" applyFill="1" applyBorder="1" applyAlignment="1">
      <alignment vertical="center" wrapText="1"/>
    </xf>
    <xf numFmtId="178" fontId="65" fillId="0" borderId="3" xfId="0" applyNumberFormat="1" applyFont="1" applyFill="1" applyBorder="1" applyAlignment="1">
      <alignment vertical="center" wrapText="1"/>
    </xf>
    <xf numFmtId="0" fontId="63" fillId="0" borderId="3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vertical="center"/>
    </xf>
    <xf numFmtId="0" fontId="78" fillId="0" borderId="3" xfId="0" applyFont="1" applyFill="1" applyBorder="1" applyAlignment="1">
      <alignment horizontal="left" vertical="center"/>
    </xf>
    <xf numFmtId="0" fontId="78" fillId="0" borderId="3" xfId="0" applyFont="1" applyFill="1" applyBorder="1" applyAlignment="1">
      <alignment vertical="center"/>
    </xf>
    <xf numFmtId="0" fontId="63" fillId="0" borderId="3" xfId="0" quotePrefix="1" applyFont="1" applyFill="1" applyBorder="1" applyAlignment="1">
      <alignment horizontal="center" vertical="center"/>
    </xf>
    <xf numFmtId="179" fontId="63" fillId="0" borderId="0" xfId="0" applyNumberFormat="1" applyFont="1" applyFill="1" applyBorder="1" applyAlignment="1">
      <alignment vertical="center"/>
    </xf>
    <xf numFmtId="178" fontId="65" fillId="0" borderId="3" xfId="0" applyNumberFormat="1" applyFont="1" applyFill="1" applyBorder="1" applyAlignment="1">
      <alignment horizontal="right" vertical="center"/>
    </xf>
    <xf numFmtId="0" fontId="63" fillId="0" borderId="3" xfId="0" applyFont="1" applyFill="1" applyBorder="1" applyAlignment="1">
      <alignment horizontal="lef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65" fillId="0" borderId="0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6" fillId="29" borderId="0" xfId="0" applyFont="1" applyFill="1" applyBorder="1" applyAlignment="1" applyProtection="1">
      <alignment horizontal="left" vertical="center" wrapText="1"/>
      <protection locked="0"/>
    </xf>
    <xf numFmtId="49" fontId="86" fillId="29" borderId="0" xfId="0" applyNumberFormat="1" applyFont="1" applyFill="1" applyBorder="1" applyAlignment="1">
      <alignment horizontal="center" vertical="center"/>
    </xf>
    <xf numFmtId="177" fontId="86" fillId="29" borderId="0" xfId="0" applyNumberFormat="1" applyFont="1" applyFill="1" applyBorder="1" applyAlignment="1">
      <alignment horizontal="center" vertical="center" wrapText="1"/>
    </xf>
    <xf numFmtId="177" fontId="86" fillId="30" borderId="0" xfId="0" applyNumberFormat="1" applyFont="1" applyFill="1" applyBorder="1" applyAlignment="1">
      <alignment horizontal="center" vertical="center" wrapText="1"/>
    </xf>
    <xf numFmtId="0" fontId="87" fillId="29" borderId="0" xfId="182" applyFont="1" applyFill="1" applyBorder="1" applyAlignment="1">
      <alignment vertical="center" wrapText="1"/>
      <protection locked="0"/>
    </xf>
    <xf numFmtId="0" fontId="87" fillId="29" borderId="0" xfId="0" applyFont="1" applyFill="1" applyBorder="1" applyAlignment="1">
      <alignment horizontal="center" vertical="center"/>
    </xf>
    <xf numFmtId="177" fontId="87" fillId="29" borderId="0" xfId="0" applyNumberFormat="1" applyFont="1" applyFill="1" applyBorder="1" applyAlignment="1">
      <alignment horizontal="center" vertical="center" wrapText="1"/>
    </xf>
    <xf numFmtId="177" fontId="87" fillId="30" borderId="0" xfId="0" applyNumberFormat="1" applyFont="1" applyFill="1" applyBorder="1" applyAlignment="1">
      <alignment horizontal="center" vertical="center" wrapText="1"/>
    </xf>
    <xf numFmtId="0" fontId="86" fillId="29" borderId="0" xfId="182" applyFont="1" applyFill="1" applyBorder="1" applyAlignment="1">
      <alignment vertical="center" wrapText="1"/>
      <protection locked="0"/>
    </xf>
    <xf numFmtId="0" fontId="86" fillId="29" borderId="0" xfId="0" applyFont="1" applyFill="1" applyBorder="1" applyAlignment="1">
      <alignment horizontal="center" vertical="center"/>
    </xf>
    <xf numFmtId="178" fontId="86" fillId="29" borderId="0" xfId="0" applyNumberFormat="1" applyFont="1" applyFill="1" applyBorder="1" applyAlignment="1">
      <alignment horizontal="center" vertical="center" wrapText="1"/>
    </xf>
    <xf numFmtId="178" fontId="86" fillId="30" borderId="0" xfId="0" applyNumberFormat="1" applyFont="1" applyFill="1" applyBorder="1" applyAlignment="1">
      <alignment horizontal="center" vertical="center" wrapText="1"/>
    </xf>
    <xf numFmtId="178" fontId="87" fillId="29" borderId="0" xfId="0" applyNumberFormat="1" applyFont="1" applyFill="1" applyBorder="1" applyAlignment="1">
      <alignment horizontal="center" vertical="center" wrapText="1"/>
    </xf>
    <xf numFmtId="178" fontId="87" fillId="30" borderId="0" xfId="0" applyNumberFormat="1" applyFont="1" applyFill="1" applyBorder="1" applyAlignment="1">
      <alignment horizontal="center" vertical="center" wrapText="1"/>
    </xf>
    <xf numFmtId="178" fontId="65" fillId="0" borderId="0" xfId="0" applyNumberFormat="1" applyFont="1" applyFill="1" applyBorder="1" applyAlignment="1">
      <alignment horizontal="center" vertical="center" wrapText="1"/>
    </xf>
    <xf numFmtId="170" fontId="63" fillId="0" borderId="0" xfId="0" applyNumberFormat="1" applyFont="1" applyFill="1" applyBorder="1" applyAlignment="1">
      <alignment vertical="center"/>
    </xf>
    <xf numFmtId="179" fontId="63" fillId="0" borderId="0" xfId="0" applyNumberFormat="1" applyFont="1" applyFill="1" applyBorder="1" applyAlignment="1">
      <alignment horizontal="center" vertical="center"/>
    </xf>
    <xf numFmtId="178" fontId="63" fillId="0" borderId="0" xfId="0" applyNumberFormat="1" applyFont="1" applyFill="1" applyBorder="1" applyAlignment="1">
      <alignment horizontal="center" vertical="center"/>
    </xf>
    <xf numFmtId="178" fontId="65" fillId="0" borderId="0" xfId="0" applyNumberFormat="1" applyFont="1" applyFill="1" applyBorder="1" applyAlignment="1">
      <alignment horizontal="center" vertical="center"/>
    </xf>
    <xf numFmtId="178" fontId="65" fillId="0" borderId="0" xfId="0" applyNumberFormat="1" applyFont="1" applyFill="1" applyBorder="1" applyAlignment="1">
      <alignment vertical="center"/>
    </xf>
    <xf numFmtId="0" fontId="64" fillId="0" borderId="3" xfId="0" applyFont="1" applyFill="1" applyBorder="1" applyAlignment="1">
      <alignment horizontal="left" vertical="center"/>
    </xf>
    <xf numFmtId="49" fontId="63" fillId="0" borderId="3" xfId="0" applyNumberFormat="1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/>
    </xf>
    <xf numFmtId="49" fontId="79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178" fontId="75" fillId="0" borderId="3" xfId="0" applyNumberFormat="1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vertical="center"/>
    </xf>
    <xf numFmtId="170" fontId="63" fillId="0" borderId="0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178" fontId="82" fillId="0" borderId="3" xfId="0" applyNumberFormat="1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49" fontId="78" fillId="0" borderId="3" xfId="0" applyNumberFormat="1" applyFont="1" applyFill="1" applyBorder="1" applyAlignment="1">
      <alignment horizontal="center" vertical="center"/>
    </xf>
    <xf numFmtId="178" fontId="64" fillId="0" borderId="3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center"/>
    </xf>
    <xf numFmtId="178" fontId="65" fillId="0" borderId="0" xfId="0" applyNumberFormat="1" applyFont="1" applyFill="1" applyBorder="1" applyAlignment="1">
      <alignment horizontal="center"/>
    </xf>
    <xf numFmtId="179" fontId="65" fillId="0" borderId="0" xfId="0" applyNumberFormat="1" applyFont="1" applyFill="1" applyBorder="1" applyAlignment="1">
      <alignment horizontal="center"/>
    </xf>
    <xf numFmtId="49" fontId="76" fillId="0" borderId="3" xfId="0" applyNumberFormat="1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left" vertical="center"/>
    </xf>
    <xf numFmtId="178" fontId="83" fillId="0" borderId="3" xfId="0" applyNumberFormat="1" applyFont="1" applyFill="1" applyBorder="1" applyAlignment="1">
      <alignment horizontal="center" vertical="center"/>
    </xf>
    <xf numFmtId="169" fontId="65" fillId="0" borderId="0" xfId="0" applyNumberFormat="1" applyFont="1" applyFill="1" applyBorder="1" applyAlignment="1">
      <alignment vertical="center"/>
    </xf>
    <xf numFmtId="0" fontId="76" fillId="0" borderId="3" xfId="0" applyFont="1" applyFill="1" applyBorder="1" applyAlignment="1">
      <alignment horizontal="center" vertical="center"/>
    </xf>
    <xf numFmtId="178" fontId="81" fillId="0" borderId="3" xfId="0" applyNumberFormat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left" vertical="center" wrapText="1"/>
    </xf>
    <xf numFmtId="0" fontId="78" fillId="0" borderId="15" xfId="0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vertical="center"/>
    </xf>
    <xf numFmtId="0" fontId="79" fillId="0" borderId="3" xfId="0" applyFont="1" applyFill="1" applyBorder="1" applyAlignment="1">
      <alignment vertical="center" wrapText="1"/>
    </xf>
    <xf numFmtId="0" fontId="78" fillId="0" borderId="15" xfId="0" applyFont="1" applyFill="1" applyBorder="1" applyAlignment="1">
      <alignment vertical="center" wrapText="1"/>
    </xf>
    <xf numFmtId="0" fontId="78" fillId="0" borderId="15" xfId="0" applyFont="1" applyFill="1" applyBorder="1" applyAlignment="1">
      <alignment vertical="center"/>
    </xf>
    <xf numFmtId="0" fontId="76" fillId="0" borderId="3" xfId="0" applyFont="1" applyFill="1" applyBorder="1" applyAlignment="1">
      <alignment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vertical="center" wrapText="1"/>
    </xf>
    <xf numFmtId="0" fontId="76" fillId="0" borderId="3" xfId="0" applyFont="1" applyFill="1" applyBorder="1" applyAlignment="1">
      <alignment horizontal="left" vertical="center"/>
    </xf>
    <xf numFmtId="0" fontId="77" fillId="0" borderId="3" xfId="0" applyFont="1" applyFill="1" applyBorder="1" applyAlignment="1">
      <alignment horizontal="left" vertical="center"/>
    </xf>
    <xf numFmtId="0" fontId="77" fillId="0" borderId="3" xfId="0" applyFont="1" applyFill="1" applyBorder="1" applyAlignment="1">
      <alignment horizontal="center" vertical="center"/>
    </xf>
    <xf numFmtId="0" fontId="78" fillId="0" borderId="13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vertical="center"/>
    </xf>
    <xf numFmtId="0" fontId="75" fillId="0" borderId="3" xfId="0" applyFont="1" applyFill="1" applyBorder="1" applyAlignment="1">
      <alignment horizontal="left" vertical="center"/>
    </xf>
    <xf numFmtId="49" fontId="75" fillId="0" borderId="3" xfId="0" applyNumberFormat="1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left" vertical="center" wrapText="1"/>
    </xf>
    <xf numFmtId="49" fontId="65" fillId="0" borderId="3" xfId="0" applyNumberFormat="1" applyFont="1" applyFill="1" applyBorder="1" applyAlignment="1">
      <alignment horizontal="center" vertical="center"/>
    </xf>
    <xf numFmtId="49" fontId="64" fillId="0" borderId="3" xfId="0" applyNumberFormat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vertical="center"/>
    </xf>
    <xf numFmtId="0" fontId="77" fillId="0" borderId="3" xfId="0" applyFont="1" applyFill="1" applyBorder="1" applyAlignment="1">
      <alignment vertical="center"/>
    </xf>
    <xf numFmtId="0" fontId="77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/>
    </xf>
    <xf numFmtId="178" fontId="64" fillId="0" borderId="3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 wrapText="1"/>
    </xf>
    <xf numFmtId="170" fontId="65" fillId="0" borderId="3" xfId="0" applyNumberFormat="1" applyFont="1" applyFill="1" applyBorder="1" applyAlignment="1">
      <alignment horizontal="right" vertical="center" wrapText="1"/>
    </xf>
    <xf numFmtId="0" fontId="70" fillId="0" borderId="0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center" vertical="center"/>
    </xf>
    <xf numFmtId="0" fontId="63" fillId="31" borderId="3" xfId="0" applyFont="1" applyFill="1" applyBorder="1" applyAlignment="1">
      <alignment horizontal="center" vertical="center" wrapText="1"/>
    </xf>
    <xf numFmtId="0" fontId="63" fillId="31" borderId="3" xfId="0" applyFont="1" applyFill="1" applyBorder="1" applyAlignment="1">
      <alignment vertical="center" wrapText="1"/>
    </xf>
    <xf numFmtId="178" fontId="63" fillId="31" borderId="3" xfId="0" applyNumberFormat="1" applyFont="1" applyFill="1" applyBorder="1" applyAlignment="1">
      <alignment horizontal="center" vertical="center" wrapText="1"/>
    </xf>
    <xf numFmtId="178" fontId="63" fillId="31" borderId="3" xfId="0" applyNumberFormat="1" applyFont="1" applyFill="1" applyBorder="1" applyAlignment="1">
      <alignment horizontal="center" vertical="center"/>
    </xf>
    <xf numFmtId="0" fontId="63" fillId="31" borderId="3" xfId="0" applyFont="1" applyFill="1" applyBorder="1" applyAlignment="1">
      <alignment horizontal="center" vertical="center"/>
    </xf>
    <xf numFmtId="0" fontId="76" fillId="31" borderId="3" xfId="0" applyFont="1" applyFill="1" applyBorder="1" applyAlignment="1">
      <alignment horizontal="center" vertical="center"/>
    </xf>
    <xf numFmtId="178" fontId="81" fillId="31" borderId="3" xfId="0" applyNumberFormat="1" applyFont="1" applyFill="1" applyBorder="1" applyAlignment="1">
      <alignment horizontal="center" vertical="center"/>
    </xf>
    <xf numFmtId="49" fontId="76" fillId="31" borderId="3" xfId="0" applyNumberFormat="1" applyFont="1" applyFill="1" applyBorder="1" applyAlignment="1">
      <alignment horizontal="center" vertical="center"/>
    </xf>
    <xf numFmtId="0" fontId="76" fillId="31" borderId="3" xfId="0" applyFont="1" applyFill="1" applyBorder="1" applyAlignment="1">
      <alignment horizontal="left" vertical="center" wrapText="1"/>
    </xf>
    <xf numFmtId="178" fontId="83" fillId="31" borderId="3" xfId="0" applyNumberFormat="1" applyFont="1" applyFill="1" applyBorder="1" applyAlignment="1">
      <alignment horizontal="center" vertical="center"/>
    </xf>
    <xf numFmtId="49" fontId="63" fillId="31" borderId="3" xfId="0" applyNumberFormat="1" applyFont="1" applyFill="1" applyBorder="1" applyAlignment="1">
      <alignment horizontal="center" vertical="center"/>
    </xf>
    <xf numFmtId="0" fontId="63" fillId="31" borderId="3" xfId="0" applyFont="1" applyFill="1" applyBorder="1" applyAlignment="1">
      <alignment horizontal="left" vertical="center"/>
    </xf>
    <xf numFmtId="0" fontId="65" fillId="31" borderId="0" xfId="0" applyFont="1" applyFill="1" applyBorder="1" applyAlignment="1">
      <alignment vertical="center"/>
    </xf>
    <xf numFmtId="0" fontId="63" fillId="31" borderId="0" xfId="0" applyFont="1" applyFill="1" applyBorder="1" applyAlignment="1">
      <alignment vertical="center"/>
    </xf>
    <xf numFmtId="0" fontId="65" fillId="31" borderId="0" xfId="0" applyFont="1" applyFill="1" applyBorder="1" applyAlignment="1">
      <alignment horizontal="center" vertical="center"/>
    </xf>
    <xf numFmtId="178" fontId="65" fillId="31" borderId="3" xfId="0" applyNumberFormat="1" applyFont="1" applyFill="1" applyBorder="1" applyAlignment="1">
      <alignment horizontal="center" vertical="center" wrapText="1"/>
    </xf>
    <xf numFmtId="0" fontId="76" fillId="31" borderId="3" xfId="0" applyFont="1" applyFill="1" applyBorder="1" applyAlignment="1">
      <alignment horizontal="center" vertical="center" wrapText="1"/>
    </xf>
    <xf numFmtId="0" fontId="76" fillId="31" borderId="3" xfId="0" applyFont="1" applyFill="1" applyBorder="1" applyAlignment="1">
      <alignment vertical="center"/>
    </xf>
    <xf numFmtId="0" fontId="63" fillId="31" borderId="3" xfId="0" applyFont="1" applyFill="1" applyBorder="1" applyAlignment="1">
      <alignment horizontal="left" vertical="center" wrapText="1"/>
    </xf>
    <xf numFmtId="0" fontId="76" fillId="31" borderId="3" xfId="0" applyFont="1" applyFill="1" applyBorder="1" applyAlignment="1">
      <alignment vertical="center" wrapText="1"/>
    </xf>
    <xf numFmtId="178" fontId="65" fillId="31" borderId="3" xfId="0" applyNumberFormat="1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 shrinkToFit="1"/>
    </xf>
    <xf numFmtId="0" fontId="65" fillId="29" borderId="3" xfId="0" applyFont="1" applyFill="1" applyBorder="1"/>
    <xf numFmtId="0" fontId="64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wrapText="1"/>
    </xf>
    <xf numFmtId="0" fontId="75" fillId="29" borderId="3" xfId="0" quotePrefix="1" applyFont="1" applyFill="1" applyBorder="1" applyAlignment="1">
      <alignment horizontal="center" vertical="center"/>
    </xf>
    <xf numFmtId="0" fontId="65" fillId="29" borderId="3" xfId="0" quotePrefix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left" vertical="center"/>
    </xf>
    <xf numFmtId="179" fontId="63" fillId="29" borderId="0" xfId="0" applyNumberFormat="1" applyFont="1" applyFill="1" applyBorder="1" applyAlignment="1">
      <alignment vertical="center"/>
    </xf>
    <xf numFmtId="0" fontId="65" fillId="29" borderId="15" xfId="0" applyFont="1" applyFill="1" applyBorder="1" applyAlignment="1"/>
    <xf numFmtId="0" fontId="65" fillId="29" borderId="14" xfId="0" applyFont="1" applyFill="1" applyBorder="1" applyAlignment="1"/>
    <xf numFmtId="0" fontId="65" fillId="29" borderId="16" xfId="0" applyFont="1" applyFill="1" applyBorder="1" applyAlignment="1"/>
    <xf numFmtId="0" fontId="65" fillId="0" borderId="0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178" fontId="65" fillId="0" borderId="3" xfId="0" applyNumberFormat="1" applyFont="1" applyFill="1" applyBorder="1" applyAlignment="1">
      <alignment vertical="center"/>
    </xf>
    <xf numFmtId="178" fontId="65" fillId="32" borderId="3" xfId="0" applyNumberFormat="1" applyFont="1" applyFill="1" applyBorder="1" applyAlignment="1">
      <alignment horizontal="center" vertical="center" wrapText="1"/>
    </xf>
    <xf numFmtId="178" fontId="63" fillId="33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178" fontId="63" fillId="34" borderId="3" xfId="0" applyNumberFormat="1" applyFont="1" applyFill="1" applyBorder="1" applyAlignment="1">
      <alignment horizontal="center" vertical="center" wrapText="1"/>
    </xf>
    <xf numFmtId="178" fontId="63" fillId="35" borderId="3" xfId="0" applyNumberFormat="1" applyFont="1" applyFill="1" applyBorder="1" applyAlignment="1">
      <alignment horizontal="center" vertical="center" wrapText="1"/>
    </xf>
    <xf numFmtId="49" fontId="64" fillId="29" borderId="3" xfId="0" applyNumberFormat="1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/>
    </xf>
    <xf numFmtId="49" fontId="63" fillId="29" borderId="3" xfId="0" applyNumberFormat="1" applyFont="1" applyFill="1" applyBorder="1" applyAlignment="1">
      <alignment horizontal="center" vertical="center"/>
    </xf>
    <xf numFmtId="49" fontId="75" fillId="29" borderId="3" xfId="0" applyNumberFormat="1" applyFont="1" applyFill="1" applyBorder="1" applyAlignment="1">
      <alignment horizontal="center" vertical="center"/>
    </xf>
    <xf numFmtId="178" fontId="75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 wrapText="1"/>
    </xf>
    <xf numFmtId="178" fontId="63" fillId="36" borderId="3" xfId="0" applyNumberFormat="1" applyFont="1" applyFill="1" applyBorder="1" applyAlignment="1">
      <alignment horizontal="center" vertical="center" wrapText="1"/>
    </xf>
    <xf numFmtId="178" fontId="65" fillId="36" borderId="3" xfId="0" applyNumberFormat="1" applyFont="1" applyFill="1" applyBorder="1" applyAlignment="1">
      <alignment horizontal="center" vertical="center" wrapText="1"/>
    </xf>
    <xf numFmtId="178" fontId="65" fillId="37" borderId="3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2" fillId="29" borderId="13" xfId="0" applyNumberFormat="1" applyFont="1" applyFill="1" applyBorder="1" applyAlignment="1">
      <alignment horizontal="center" vertical="center" wrapText="1"/>
    </xf>
    <xf numFmtId="170" fontId="62" fillId="29" borderId="13" xfId="0" quotePrefix="1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 applyProtection="1">
      <alignment horizontal="center" vertical="center"/>
      <protection locked="0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0" fontId="63" fillId="29" borderId="13" xfId="0" applyFont="1" applyFill="1" applyBorder="1" applyAlignment="1">
      <alignment horizontal="center"/>
    </xf>
    <xf numFmtId="0" fontId="66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left" vertical="center"/>
    </xf>
    <xf numFmtId="0" fontId="63" fillId="0" borderId="3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 wrapText="1"/>
    </xf>
    <xf numFmtId="170" fontId="65" fillId="0" borderId="13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left" vertical="center"/>
    </xf>
    <xf numFmtId="0" fontId="63" fillId="0" borderId="3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170" fontId="65" fillId="0" borderId="13" xfId="0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left" vertical="center" wrapText="1"/>
    </xf>
    <xf numFmtId="0" fontId="65" fillId="29" borderId="0" xfId="0" applyFont="1" applyFill="1" applyBorder="1" applyAlignment="1">
      <alignment horizontal="left" vertical="center"/>
    </xf>
    <xf numFmtId="0" fontId="66" fillId="29" borderId="0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/>
    </xf>
    <xf numFmtId="0" fontId="65" fillId="29" borderId="15" xfId="0" applyFont="1" applyFill="1" applyBorder="1" applyAlignment="1">
      <alignment horizontal="left"/>
    </xf>
    <xf numFmtId="0" fontId="65" fillId="29" borderId="14" xfId="0" applyFont="1" applyFill="1" applyBorder="1" applyAlignment="1">
      <alignment horizontal="left"/>
    </xf>
    <xf numFmtId="0" fontId="65" fillId="29" borderId="16" xfId="0" applyFont="1" applyFill="1" applyBorder="1" applyAlignment="1">
      <alignment horizontal="left"/>
    </xf>
    <xf numFmtId="0" fontId="65" fillId="29" borderId="15" xfId="0" applyFont="1" applyFill="1" applyBorder="1" applyAlignment="1">
      <alignment horizontal="left" vertical="center" wrapText="1"/>
    </xf>
    <xf numFmtId="0" fontId="65" fillId="29" borderId="14" xfId="0" applyFont="1" applyFill="1" applyBorder="1" applyAlignment="1">
      <alignment horizontal="left" vertical="center" wrapText="1"/>
    </xf>
    <xf numFmtId="0" fontId="65" fillId="29" borderId="16" xfId="0" applyFont="1" applyFill="1" applyBorder="1" applyAlignment="1">
      <alignment horizontal="left" vertical="center" wrapText="1"/>
    </xf>
    <xf numFmtId="0" fontId="65" fillId="29" borderId="15" xfId="0" applyFont="1" applyFill="1" applyBorder="1" applyAlignment="1">
      <alignment horizontal="left" wrapText="1"/>
    </xf>
    <xf numFmtId="0" fontId="65" fillId="29" borderId="14" xfId="0" applyFont="1" applyFill="1" applyBorder="1" applyAlignment="1">
      <alignment horizontal="left" wrapText="1"/>
    </xf>
    <xf numFmtId="0" fontId="65" fillId="29" borderId="16" xfId="0" applyFont="1" applyFill="1" applyBorder="1" applyAlignment="1">
      <alignment horizontal="left" wrapText="1"/>
    </xf>
    <xf numFmtId="0" fontId="65" fillId="29" borderId="15" xfId="0" applyFont="1" applyFill="1" applyBorder="1" applyAlignment="1">
      <alignment wrapText="1"/>
    </xf>
    <xf numFmtId="0" fontId="65" fillId="29" borderId="14" xfId="0" applyFont="1" applyFill="1" applyBorder="1" applyAlignment="1">
      <alignment wrapText="1"/>
    </xf>
    <xf numFmtId="0" fontId="65" fillId="29" borderId="16" xfId="0" applyFont="1" applyFill="1" applyBorder="1" applyAlignment="1">
      <alignment wrapText="1"/>
    </xf>
    <xf numFmtId="0" fontId="73" fillId="0" borderId="0" xfId="0" applyFont="1" applyFill="1" applyAlignment="1">
      <alignment vertical="center" wrapText="1"/>
    </xf>
    <xf numFmtId="0" fontId="74" fillId="0" borderId="0" xfId="0" applyFont="1" applyAlignment="1">
      <alignment vertical="center" wrapText="1"/>
    </xf>
    <xf numFmtId="0" fontId="69" fillId="29" borderId="0" xfId="0" applyFont="1" applyFill="1" applyBorder="1" applyAlignment="1">
      <alignment horizontal="center" wrapText="1"/>
    </xf>
    <xf numFmtId="0" fontId="72" fillId="29" borderId="0" xfId="0" applyFont="1" applyFill="1" applyAlignment="1">
      <alignment horizontal="center"/>
    </xf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>
      <alignment horizontal="center" vertical="center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4" xfId="0" applyFont="1" applyFill="1" applyBorder="1" applyAlignment="1">
      <alignment horizontal="center" vertical="center" wrapText="1"/>
    </xf>
    <xf numFmtId="0" fontId="62" fillId="29" borderId="15" xfId="0" applyFont="1" applyFill="1" applyBorder="1" applyAlignment="1">
      <alignment horizontal="left" vertical="center" wrapText="1"/>
    </xf>
    <xf numFmtId="0" fontId="62" fillId="29" borderId="14" xfId="0" applyFont="1" applyFill="1" applyBorder="1" applyAlignment="1">
      <alignment horizontal="lef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S251"/>
  <sheetViews>
    <sheetView tabSelected="1" view="pageBreakPreview" topLeftCell="A79" zoomScale="75" zoomScaleNormal="75" zoomScaleSheetLayoutView="75" workbookViewId="0">
      <selection activeCell="F9" sqref="F9"/>
    </sheetView>
  </sheetViews>
  <sheetFormatPr defaultRowHeight="20.25"/>
  <cols>
    <col min="1" max="1" width="65.42578125" style="68" customWidth="1"/>
    <col min="2" max="2" width="17.28515625" style="31" customWidth="1"/>
    <col min="3" max="4" width="18" style="31" customWidth="1"/>
    <col min="5" max="5" width="18.7109375" style="68" customWidth="1"/>
    <col min="6" max="6" width="19" style="68" customWidth="1"/>
    <col min="7" max="7" width="18.7109375" style="68" customWidth="1"/>
    <col min="8" max="8" width="19.7109375" style="68" customWidth="1"/>
    <col min="9" max="9" width="14.5703125" style="68" customWidth="1"/>
    <col min="10" max="10" width="11.85546875" style="68" customWidth="1"/>
    <col min="11" max="11" width="17.42578125" style="68" customWidth="1"/>
    <col min="12" max="12" width="13.85546875" style="68" customWidth="1"/>
    <col min="13" max="13" width="17" style="68" customWidth="1"/>
    <col min="14" max="16" width="9.140625" style="68"/>
    <col min="17" max="17" width="11.42578125" style="68" bestFit="1" customWidth="1"/>
    <col min="18" max="18" width="18.5703125" style="68" customWidth="1"/>
    <col min="19" max="16384" width="9.140625" style="68"/>
  </cols>
  <sheetData>
    <row r="1" spans="1:8" ht="111" customHeight="1">
      <c r="A1" s="272" t="s">
        <v>373</v>
      </c>
      <c r="B1" s="271"/>
      <c r="C1" s="271"/>
      <c r="D1" s="271"/>
      <c r="E1" s="271"/>
      <c r="F1" s="271"/>
      <c r="G1" s="271"/>
      <c r="H1" s="271"/>
    </row>
    <row r="2" spans="1:8" ht="30" customHeight="1">
      <c r="A2" s="271" t="s">
        <v>18</v>
      </c>
      <c r="B2" s="271"/>
      <c r="C2" s="271"/>
      <c r="D2" s="271"/>
      <c r="E2" s="271"/>
      <c r="F2" s="271"/>
      <c r="G2" s="271"/>
      <c r="H2" s="271"/>
    </row>
    <row r="3" spans="1:8" ht="23.25" customHeight="1">
      <c r="B3" s="69"/>
      <c r="C3" s="67"/>
      <c r="D3" s="69"/>
      <c r="E3" s="69"/>
      <c r="F3" s="69"/>
      <c r="G3" s="69"/>
      <c r="H3" s="70" t="s">
        <v>57</v>
      </c>
    </row>
    <row r="4" spans="1:8" ht="75.75" customHeight="1">
      <c r="A4" s="268" t="s">
        <v>23</v>
      </c>
      <c r="B4" s="267" t="s">
        <v>5</v>
      </c>
      <c r="C4" s="267" t="s">
        <v>122</v>
      </c>
      <c r="D4" s="267"/>
      <c r="E4" s="268" t="s">
        <v>281</v>
      </c>
      <c r="F4" s="268"/>
      <c r="G4" s="268"/>
      <c r="H4" s="268"/>
    </row>
    <row r="5" spans="1:8" ht="47.25" customHeight="1">
      <c r="A5" s="268"/>
      <c r="B5" s="267"/>
      <c r="C5" s="84" t="s">
        <v>208</v>
      </c>
      <c r="D5" s="84" t="s">
        <v>280</v>
      </c>
      <c r="E5" s="4" t="s">
        <v>108</v>
      </c>
      <c r="F5" s="4" t="s">
        <v>109</v>
      </c>
      <c r="G5" s="4" t="s">
        <v>110</v>
      </c>
      <c r="H5" s="4" t="s">
        <v>111</v>
      </c>
    </row>
    <row r="6" spans="1:8" ht="29.25" customHeight="1">
      <c r="A6" s="6">
        <v>1</v>
      </c>
      <c r="B6" s="84">
        <v>2</v>
      </c>
      <c r="C6" s="84">
        <v>3</v>
      </c>
      <c r="D6" s="84">
        <v>5</v>
      </c>
      <c r="E6" s="84">
        <v>7</v>
      </c>
      <c r="F6" s="84">
        <v>8</v>
      </c>
      <c r="G6" s="84">
        <v>9</v>
      </c>
      <c r="H6" s="84">
        <v>10</v>
      </c>
    </row>
    <row r="7" spans="1:8" ht="33" customHeight="1">
      <c r="A7" s="273" t="s">
        <v>99</v>
      </c>
      <c r="B7" s="273"/>
      <c r="C7" s="273"/>
      <c r="D7" s="273"/>
      <c r="E7" s="273"/>
      <c r="F7" s="273"/>
      <c r="G7" s="273"/>
      <c r="H7" s="273"/>
    </row>
    <row r="8" spans="1:8" ht="48.75" customHeight="1">
      <c r="A8" s="88" t="s">
        <v>123</v>
      </c>
      <c r="B8" s="5">
        <v>1000</v>
      </c>
      <c r="C8" s="1">
        <v>21058.5</v>
      </c>
      <c r="D8" s="1">
        <v>21652.2</v>
      </c>
      <c r="E8" s="1">
        <v>31341.4</v>
      </c>
      <c r="F8" s="1">
        <f>D8</f>
        <v>21652.2</v>
      </c>
      <c r="G8" s="1">
        <f>F8-E8</f>
        <v>-9689.2000000000007</v>
      </c>
      <c r="H8" s="1">
        <f>(F8/E8)*100</f>
        <v>69.084980249765479</v>
      </c>
    </row>
    <row r="9" spans="1:8" ht="47.25" customHeight="1">
      <c r="A9" s="88" t="s">
        <v>67</v>
      </c>
      <c r="B9" s="5">
        <v>1010</v>
      </c>
      <c r="C9" s="1">
        <f>SUM(C10:C14)</f>
        <v>-26226.800000000003</v>
      </c>
      <c r="D9" s="1">
        <f>SUM(D10:D14)</f>
        <v>-25789.7</v>
      </c>
      <c r="E9" s="1">
        <f>SUM(E10:E14)</f>
        <v>-34171.800000000003</v>
      </c>
      <c r="F9" s="1">
        <f t="shared" ref="F9:F43" si="0">D9</f>
        <v>-25789.7</v>
      </c>
      <c r="G9" s="1">
        <f t="shared" ref="G9:G43" si="1">F9-E9</f>
        <v>8382.1000000000022</v>
      </c>
      <c r="H9" s="1">
        <f t="shared" ref="H9:H43" si="2">(F9/E9)*100</f>
        <v>75.470709766532622</v>
      </c>
    </row>
    <row r="10" spans="1:8" ht="30" customHeight="1">
      <c r="A10" s="89" t="s">
        <v>68</v>
      </c>
      <c r="B10" s="6">
        <v>1011</v>
      </c>
      <c r="C10" s="7">
        <v>-3345.7</v>
      </c>
      <c r="D10" s="7">
        <v>-5954.3</v>
      </c>
      <c r="E10" s="7">
        <v>-3512.7</v>
      </c>
      <c r="F10" s="1">
        <f t="shared" si="0"/>
        <v>-5954.3</v>
      </c>
      <c r="G10" s="7">
        <f t="shared" si="1"/>
        <v>-2441.6000000000004</v>
      </c>
      <c r="H10" s="7">
        <f t="shared" si="2"/>
        <v>169.50778603353547</v>
      </c>
    </row>
    <row r="11" spans="1:8" ht="28.5" customHeight="1">
      <c r="A11" s="89" t="s">
        <v>2</v>
      </c>
      <c r="B11" s="6">
        <v>1012</v>
      </c>
      <c r="C11" s="7">
        <v>-16155.1</v>
      </c>
      <c r="D11" s="7">
        <v>-13708.5</v>
      </c>
      <c r="E11" s="7">
        <v>-22251.3</v>
      </c>
      <c r="F11" s="1">
        <f t="shared" si="0"/>
        <v>-13708.5</v>
      </c>
      <c r="G11" s="7">
        <f t="shared" si="1"/>
        <v>8542.7999999999993</v>
      </c>
      <c r="H11" s="7">
        <f t="shared" si="2"/>
        <v>61.607636407760445</v>
      </c>
    </row>
    <row r="12" spans="1:8" ht="29.25" customHeight="1">
      <c r="A12" s="89" t="s">
        <v>3</v>
      </c>
      <c r="B12" s="6">
        <v>1013</v>
      </c>
      <c r="C12" s="7">
        <v>-3366.2</v>
      </c>
      <c r="D12" s="7">
        <v>-2970.5</v>
      </c>
      <c r="E12" s="7">
        <v>-5445.7</v>
      </c>
      <c r="F12" s="1">
        <f t="shared" si="0"/>
        <v>-2970.5</v>
      </c>
      <c r="G12" s="7">
        <f t="shared" si="1"/>
        <v>2475.1999999999998</v>
      </c>
      <c r="H12" s="7">
        <f t="shared" si="2"/>
        <v>54.547624731439484</v>
      </c>
    </row>
    <row r="13" spans="1:8" ht="29.25" customHeight="1">
      <c r="A13" s="89" t="s">
        <v>4</v>
      </c>
      <c r="B13" s="6">
        <v>1014</v>
      </c>
      <c r="C13" s="7">
        <v>-299.89999999999998</v>
      </c>
      <c r="D13" s="7">
        <v>-957.5</v>
      </c>
      <c r="E13" s="7">
        <v>-450</v>
      </c>
      <c r="F13" s="1">
        <f t="shared" si="0"/>
        <v>-957.5</v>
      </c>
      <c r="G13" s="85">
        <f t="shared" si="1"/>
        <v>-507.5</v>
      </c>
      <c r="H13" s="85">
        <f t="shared" si="2"/>
        <v>212.77777777777777</v>
      </c>
    </row>
    <row r="14" spans="1:8" ht="30" customHeight="1">
      <c r="A14" s="89" t="s">
        <v>50</v>
      </c>
      <c r="B14" s="6">
        <v>1015</v>
      </c>
      <c r="C14" s="7">
        <v>-3059.9</v>
      </c>
      <c r="D14" s="7">
        <v>-2198.9</v>
      </c>
      <c r="E14" s="7">
        <v>-2512.1</v>
      </c>
      <c r="F14" s="1">
        <f t="shared" si="0"/>
        <v>-2198.9</v>
      </c>
      <c r="G14" s="7">
        <f t="shared" si="1"/>
        <v>313.19999999999982</v>
      </c>
      <c r="H14" s="7">
        <f t="shared" si="2"/>
        <v>87.532343457664908</v>
      </c>
    </row>
    <row r="15" spans="1:8" ht="28.5" customHeight="1">
      <c r="A15" s="88" t="s">
        <v>25</v>
      </c>
      <c r="B15" s="6">
        <v>1020</v>
      </c>
      <c r="C15" s="1">
        <f>SUM(C8:C9)</f>
        <v>-5168.3000000000029</v>
      </c>
      <c r="D15" s="1">
        <f>SUM(D8:D9)</f>
        <v>-4137.5</v>
      </c>
      <c r="E15" s="1">
        <f>SUM(E8:E9)</f>
        <v>-2830.4000000000015</v>
      </c>
      <c r="F15" s="1">
        <f t="shared" si="0"/>
        <v>-4137.5</v>
      </c>
      <c r="G15" s="1">
        <f t="shared" si="1"/>
        <v>-1307.0999999999985</v>
      </c>
      <c r="H15" s="1">
        <f t="shared" si="2"/>
        <v>146.18075183719608</v>
      </c>
    </row>
    <row r="16" spans="1:8" ht="42" customHeight="1">
      <c r="A16" s="88" t="s">
        <v>89</v>
      </c>
      <c r="B16" s="5">
        <v>1020</v>
      </c>
      <c r="C16" s="1">
        <f>SUM(C17:C21)</f>
        <v>-1832</v>
      </c>
      <c r="D16" s="1">
        <f>SUM(D17:D21)</f>
        <v>-1696</v>
      </c>
      <c r="E16" s="1">
        <f>SUM(E17:E21)</f>
        <v>-1144.5</v>
      </c>
      <c r="F16" s="1">
        <f t="shared" si="0"/>
        <v>-1696</v>
      </c>
      <c r="G16" s="1">
        <f t="shared" si="1"/>
        <v>-551.5</v>
      </c>
      <c r="H16" s="1">
        <f t="shared" si="2"/>
        <v>148.18698121450416</v>
      </c>
    </row>
    <row r="17" spans="1:8" ht="27.75" customHeight="1">
      <c r="A17" s="89" t="s">
        <v>68</v>
      </c>
      <c r="B17" s="6">
        <v>1021</v>
      </c>
      <c r="C17" s="7">
        <v>-14.2</v>
      </c>
      <c r="D17" s="7">
        <v>-7.2</v>
      </c>
      <c r="E17" s="7">
        <v>-17.5</v>
      </c>
      <c r="F17" s="1">
        <f t="shared" si="0"/>
        <v>-7.2</v>
      </c>
      <c r="G17" s="7">
        <f t="shared" si="1"/>
        <v>10.3</v>
      </c>
      <c r="H17" s="7">
        <f t="shared" si="2"/>
        <v>41.142857142857139</v>
      </c>
    </row>
    <row r="18" spans="1:8" ht="27.75" customHeight="1">
      <c r="A18" s="89" t="s">
        <v>2</v>
      </c>
      <c r="B18" s="6">
        <v>1022</v>
      </c>
      <c r="C18" s="7">
        <v>-1063.8</v>
      </c>
      <c r="D18" s="7">
        <v>-1188.7</v>
      </c>
      <c r="E18" s="7">
        <v>-494.6</v>
      </c>
      <c r="F18" s="1">
        <f t="shared" si="0"/>
        <v>-1188.7</v>
      </c>
      <c r="G18" s="7">
        <f t="shared" si="1"/>
        <v>-694.1</v>
      </c>
      <c r="H18" s="7">
        <f t="shared" si="2"/>
        <v>240.33562474727051</v>
      </c>
    </row>
    <row r="19" spans="1:8" ht="27.75" customHeight="1">
      <c r="A19" s="89" t="s">
        <v>3</v>
      </c>
      <c r="B19" s="6">
        <v>1023</v>
      </c>
      <c r="C19" s="7">
        <v>-228</v>
      </c>
      <c r="D19" s="7">
        <v>-212.5</v>
      </c>
      <c r="E19" s="7">
        <v>-108.8</v>
      </c>
      <c r="F19" s="1">
        <f t="shared" si="0"/>
        <v>-212.5</v>
      </c>
      <c r="G19" s="7">
        <f t="shared" si="1"/>
        <v>-103.7</v>
      </c>
      <c r="H19" s="7">
        <f t="shared" si="2"/>
        <v>195.3125</v>
      </c>
    </row>
    <row r="20" spans="1:8" ht="27.75" customHeight="1">
      <c r="A20" s="89" t="s">
        <v>4</v>
      </c>
      <c r="B20" s="6">
        <v>1024</v>
      </c>
      <c r="C20" s="7">
        <v>-444.1</v>
      </c>
      <c r="D20" s="7">
        <v>-113.3</v>
      </c>
      <c r="E20" s="7">
        <v>-265</v>
      </c>
      <c r="F20" s="1">
        <f t="shared" si="0"/>
        <v>-113.3</v>
      </c>
      <c r="G20" s="85">
        <f t="shared" si="1"/>
        <v>151.69999999999999</v>
      </c>
      <c r="H20" s="85">
        <f t="shared" si="2"/>
        <v>42.754716981132077</v>
      </c>
    </row>
    <row r="21" spans="1:8" ht="27.75" customHeight="1">
      <c r="A21" s="89" t="s">
        <v>69</v>
      </c>
      <c r="B21" s="6">
        <v>1025</v>
      </c>
      <c r="C21" s="7">
        <v>-81.900000000000006</v>
      </c>
      <c r="D21" s="7">
        <v>-174.3</v>
      </c>
      <c r="E21" s="7">
        <v>-258.60000000000002</v>
      </c>
      <c r="F21" s="1">
        <f t="shared" si="0"/>
        <v>-174.3</v>
      </c>
      <c r="G21" s="7">
        <f t="shared" si="1"/>
        <v>84.300000000000011</v>
      </c>
      <c r="H21" s="7">
        <f t="shared" si="2"/>
        <v>67.401392111368907</v>
      </c>
    </row>
    <row r="22" spans="1:8" ht="38.25" customHeight="1">
      <c r="A22" s="88" t="s">
        <v>35</v>
      </c>
      <c r="B22" s="5">
        <v>1040</v>
      </c>
      <c r="C22" s="1">
        <v>4830.8</v>
      </c>
      <c r="D22" s="1">
        <f>SUM(D23:D24)</f>
        <v>5759</v>
      </c>
      <c r="E22" s="1">
        <f>SUM(E23:E24)</f>
        <v>4565.5</v>
      </c>
      <c r="F22" s="1">
        <f t="shared" si="0"/>
        <v>5759</v>
      </c>
      <c r="G22" s="1">
        <f t="shared" si="1"/>
        <v>1193.5</v>
      </c>
      <c r="H22" s="1">
        <f t="shared" si="2"/>
        <v>126.14171503668821</v>
      </c>
    </row>
    <row r="23" spans="1:8" ht="30.75" customHeight="1">
      <c r="A23" s="89" t="s">
        <v>36</v>
      </c>
      <c r="B23" s="6">
        <v>1041</v>
      </c>
      <c r="C23" s="7"/>
      <c r="D23" s="7"/>
      <c r="E23" s="7"/>
      <c r="F23" s="1">
        <f t="shared" si="0"/>
        <v>0</v>
      </c>
      <c r="G23" s="7">
        <f t="shared" si="1"/>
        <v>0</v>
      </c>
      <c r="H23" s="7" t="e">
        <f t="shared" si="2"/>
        <v>#DIV/0!</v>
      </c>
    </row>
    <row r="24" spans="1:8" ht="27.75" customHeight="1">
      <c r="A24" s="89" t="s">
        <v>37</v>
      </c>
      <c r="B24" s="6">
        <v>1042</v>
      </c>
      <c r="C24" s="7">
        <v>4830.8</v>
      </c>
      <c r="D24" s="7">
        <v>5759</v>
      </c>
      <c r="E24" s="7">
        <v>4565.5</v>
      </c>
      <c r="F24" s="1">
        <f t="shared" si="0"/>
        <v>5759</v>
      </c>
      <c r="G24" s="7">
        <f t="shared" si="1"/>
        <v>1193.5</v>
      </c>
      <c r="H24" s="7">
        <f t="shared" si="2"/>
        <v>126.14171503668821</v>
      </c>
    </row>
    <row r="25" spans="1:8" ht="37.5" customHeight="1">
      <c r="A25" s="88" t="s">
        <v>12</v>
      </c>
      <c r="B25" s="5">
        <v>1030</v>
      </c>
      <c r="C25" s="1">
        <f>SUM(C26:C30)</f>
        <v>-408.09999999999997</v>
      </c>
      <c r="D25" s="1">
        <f>SUM(D26:D30)</f>
        <v>-618.70000000000005</v>
      </c>
      <c r="E25" s="1">
        <f>SUM(E26:E30)</f>
        <v>-501.59999999999997</v>
      </c>
      <c r="F25" s="1">
        <f t="shared" si="0"/>
        <v>-618.70000000000005</v>
      </c>
      <c r="G25" s="1">
        <f t="shared" si="1"/>
        <v>-117.10000000000008</v>
      </c>
      <c r="H25" s="1">
        <f t="shared" si="2"/>
        <v>123.3452950558214</v>
      </c>
    </row>
    <row r="26" spans="1:8" ht="27.75" customHeight="1">
      <c r="A26" s="89" t="s">
        <v>68</v>
      </c>
      <c r="B26" s="6">
        <v>1031</v>
      </c>
      <c r="C26" s="7" t="s">
        <v>26</v>
      </c>
      <c r="D26" s="7" t="s">
        <v>26</v>
      </c>
      <c r="E26" s="7" t="s">
        <v>26</v>
      </c>
      <c r="F26" s="1" t="str">
        <f t="shared" si="0"/>
        <v>(    )</v>
      </c>
      <c r="G26" s="85" t="e">
        <f t="shared" si="1"/>
        <v>#VALUE!</v>
      </c>
      <c r="H26" s="85" t="e">
        <f t="shared" si="2"/>
        <v>#VALUE!</v>
      </c>
    </row>
    <row r="27" spans="1:8" ht="27.75" customHeight="1">
      <c r="A27" s="89" t="s">
        <v>2</v>
      </c>
      <c r="B27" s="6">
        <v>1032</v>
      </c>
      <c r="C27" s="7">
        <v>-282.8</v>
      </c>
      <c r="D27" s="7">
        <v>-483.6</v>
      </c>
      <c r="E27" s="7">
        <v>-361.8</v>
      </c>
      <c r="F27" s="1">
        <f t="shared" si="0"/>
        <v>-483.6</v>
      </c>
      <c r="G27" s="85">
        <f t="shared" si="1"/>
        <v>-121.80000000000001</v>
      </c>
      <c r="H27" s="85">
        <f t="shared" si="2"/>
        <v>133.66500829187396</v>
      </c>
    </row>
    <row r="28" spans="1:8" ht="27.75" customHeight="1">
      <c r="A28" s="89" t="s">
        <v>3</v>
      </c>
      <c r="B28" s="6">
        <v>1033</v>
      </c>
      <c r="C28" s="7">
        <v>-74.099999999999994</v>
      </c>
      <c r="D28" s="7">
        <v>-82.5</v>
      </c>
      <c r="E28" s="7">
        <v>-79.599999999999994</v>
      </c>
      <c r="F28" s="1">
        <f t="shared" si="0"/>
        <v>-82.5</v>
      </c>
      <c r="G28" s="85">
        <f t="shared" si="1"/>
        <v>-2.9000000000000057</v>
      </c>
      <c r="H28" s="85">
        <f t="shared" si="2"/>
        <v>103.64321608040201</v>
      </c>
    </row>
    <row r="29" spans="1:8" ht="27.75" customHeight="1">
      <c r="A29" s="89" t="s">
        <v>4</v>
      </c>
      <c r="B29" s="6">
        <v>1034</v>
      </c>
      <c r="C29" s="7"/>
      <c r="D29" s="7"/>
      <c r="E29" s="7" t="s">
        <v>26</v>
      </c>
      <c r="F29" s="1">
        <f t="shared" si="0"/>
        <v>0</v>
      </c>
      <c r="G29" s="85" t="e">
        <f t="shared" si="1"/>
        <v>#VALUE!</v>
      </c>
      <c r="H29" s="85" t="e">
        <f t="shared" si="2"/>
        <v>#VALUE!</v>
      </c>
    </row>
    <row r="30" spans="1:8" ht="27.75" customHeight="1">
      <c r="A30" s="89" t="s">
        <v>70</v>
      </c>
      <c r="B30" s="6">
        <v>1035</v>
      </c>
      <c r="C30" s="7">
        <v>-51.2</v>
      </c>
      <c r="D30" s="7">
        <v>-52.6</v>
      </c>
      <c r="E30" s="7">
        <v>-60.2</v>
      </c>
      <c r="F30" s="1">
        <f t="shared" si="0"/>
        <v>-52.6</v>
      </c>
      <c r="G30" s="7">
        <f t="shared" si="1"/>
        <v>7.6000000000000014</v>
      </c>
      <c r="H30" s="7">
        <f t="shared" si="2"/>
        <v>87.375415282392026</v>
      </c>
    </row>
    <row r="31" spans="1:8" ht="47.25" customHeight="1">
      <c r="A31" s="88" t="s">
        <v>1</v>
      </c>
      <c r="B31" s="6">
        <v>1100</v>
      </c>
      <c r="C31" s="1">
        <f>SUM(C15,C16,C22,C25)</f>
        <v>-2577.6000000000026</v>
      </c>
      <c r="D31" s="1">
        <f>SUM(D15,D16,D22,D25)</f>
        <v>-693.2</v>
      </c>
      <c r="E31" s="1">
        <f>SUM(E15,E16,E22,E25)</f>
        <v>88.999999999998579</v>
      </c>
      <c r="F31" s="1">
        <f t="shared" si="0"/>
        <v>-693.2</v>
      </c>
      <c r="G31" s="1">
        <f t="shared" si="1"/>
        <v>-782.19999999999868</v>
      </c>
      <c r="H31" s="1">
        <f t="shared" si="2"/>
        <v>-778.87640449439448</v>
      </c>
    </row>
    <row r="32" spans="1:8" ht="27.75" customHeight="1">
      <c r="A32" s="88" t="s">
        <v>124</v>
      </c>
      <c r="B32" s="5">
        <v>1130</v>
      </c>
      <c r="C32" s="1">
        <v>8.6</v>
      </c>
      <c r="D32" s="1">
        <v>4.2</v>
      </c>
      <c r="E32" s="1">
        <v>12.5</v>
      </c>
      <c r="F32" s="1">
        <f t="shared" si="0"/>
        <v>4.2</v>
      </c>
      <c r="G32" s="1">
        <f t="shared" si="1"/>
        <v>-8.3000000000000007</v>
      </c>
      <c r="H32" s="1">
        <f t="shared" si="2"/>
        <v>33.6</v>
      </c>
    </row>
    <row r="33" spans="1:11" ht="27.75" customHeight="1">
      <c r="A33" s="90" t="s">
        <v>125</v>
      </c>
      <c r="B33" s="5">
        <v>1140</v>
      </c>
      <c r="C33" s="1" t="s">
        <v>26</v>
      </c>
      <c r="D33" s="1" t="s">
        <v>26</v>
      </c>
      <c r="E33" s="7" t="s">
        <v>26</v>
      </c>
      <c r="F33" s="1" t="str">
        <f t="shared" si="0"/>
        <v>(    )</v>
      </c>
      <c r="G33" s="86" t="e">
        <f t="shared" si="1"/>
        <v>#VALUE!</v>
      </c>
      <c r="H33" s="86" t="e">
        <f t="shared" si="2"/>
        <v>#VALUE!</v>
      </c>
    </row>
    <row r="34" spans="1:11" ht="27.75" customHeight="1">
      <c r="A34" s="88" t="s">
        <v>126</v>
      </c>
      <c r="B34" s="5">
        <v>1150</v>
      </c>
      <c r="C34" s="1">
        <v>788.6</v>
      </c>
      <c r="D34" s="1">
        <v>1053.2</v>
      </c>
      <c r="E34" s="1">
        <v>739</v>
      </c>
      <c r="F34" s="1">
        <f t="shared" si="0"/>
        <v>1053.2</v>
      </c>
      <c r="G34" s="1">
        <f t="shared" si="1"/>
        <v>314.20000000000005</v>
      </c>
      <c r="H34" s="1">
        <f t="shared" si="2"/>
        <v>142.51691474966171</v>
      </c>
    </row>
    <row r="35" spans="1:11" ht="27.75" customHeight="1">
      <c r="A35" s="88" t="s">
        <v>127</v>
      </c>
      <c r="B35" s="5">
        <v>1160</v>
      </c>
      <c r="C35" s="1" t="s">
        <v>26</v>
      </c>
      <c r="D35" s="1" t="s">
        <v>26</v>
      </c>
      <c r="E35" s="7" t="s">
        <v>26</v>
      </c>
      <c r="F35" s="1" t="str">
        <f t="shared" si="0"/>
        <v>(    )</v>
      </c>
      <c r="G35" s="86" t="e">
        <f t="shared" si="1"/>
        <v>#VALUE!</v>
      </c>
      <c r="H35" s="86" t="e">
        <f t="shared" si="2"/>
        <v>#VALUE!</v>
      </c>
    </row>
    <row r="36" spans="1:11" ht="28.5" customHeight="1">
      <c r="A36" s="88" t="s">
        <v>15</v>
      </c>
      <c r="B36" s="5">
        <v>1170</v>
      </c>
      <c r="C36" s="1">
        <f>SUM(C31, C32:C35)</f>
        <v>-1780.4000000000028</v>
      </c>
      <c r="D36" s="1">
        <f>SUM(D31, D32:D35)</f>
        <v>364.20000000000005</v>
      </c>
      <c r="E36" s="1">
        <f>SUM(E31, E32:E35)</f>
        <v>840.49999999999864</v>
      </c>
      <c r="F36" s="1">
        <f t="shared" si="0"/>
        <v>364.20000000000005</v>
      </c>
      <c r="G36" s="1">
        <f t="shared" si="1"/>
        <v>-476.29999999999859</v>
      </c>
      <c r="H36" s="1">
        <f t="shared" si="2"/>
        <v>43.331350386674671</v>
      </c>
    </row>
    <row r="37" spans="1:11" ht="27.75" customHeight="1">
      <c r="A37" s="90" t="s">
        <v>28</v>
      </c>
      <c r="B37" s="6">
        <v>1180</v>
      </c>
      <c r="C37" s="7" t="s">
        <v>26</v>
      </c>
      <c r="D37" s="7" t="s">
        <v>26</v>
      </c>
      <c r="E37" s="7" t="s">
        <v>26</v>
      </c>
      <c r="F37" s="1" t="str">
        <f t="shared" si="0"/>
        <v>(    )</v>
      </c>
      <c r="G37" s="85" t="e">
        <f t="shared" si="1"/>
        <v>#VALUE!</v>
      </c>
      <c r="H37" s="85" t="e">
        <f t="shared" si="2"/>
        <v>#VALUE!</v>
      </c>
    </row>
    <row r="38" spans="1:11" ht="27" customHeight="1">
      <c r="A38" s="90" t="s">
        <v>29</v>
      </c>
      <c r="B38" s="6">
        <v>1181</v>
      </c>
      <c r="C38" s="7"/>
      <c r="D38" s="7"/>
      <c r="E38" s="7"/>
      <c r="F38" s="1">
        <f>D38</f>
        <v>0</v>
      </c>
      <c r="G38" s="86">
        <f t="shared" si="1"/>
        <v>0</v>
      </c>
      <c r="H38" s="85" t="e">
        <f t="shared" si="2"/>
        <v>#DIV/0!</v>
      </c>
    </row>
    <row r="39" spans="1:11" ht="28.5" customHeight="1">
      <c r="A39" s="88" t="s">
        <v>46</v>
      </c>
      <c r="B39" s="6">
        <v>1200</v>
      </c>
      <c r="C39" s="1">
        <f>SUM(C36:C38)</f>
        <v>-1780.4000000000028</v>
      </c>
      <c r="D39" s="1">
        <f>SUM(D36:D38)</f>
        <v>364.20000000000005</v>
      </c>
      <c r="E39" s="1">
        <f>SUM(E36:E38)</f>
        <v>840.49999999999864</v>
      </c>
      <c r="F39" s="1">
        <f t="shared" si="0"/>
        <v>364.20000000000005</v>
      </c>
      <c r="G39" s="1">
        <f t="shared" si="1"/>
        <v>-476.29999999999859</v>
      </c>
      <c r="H39" s="1">
        <f t="shared" si="2"/>
        <v>43.331350386674671</v>
      </c>
    </row>
    <row r="40" spans="1:11" ht="35.25" customHeight="1">
      <c r="A40" s="90" t="s">
        <v>47</v>
      </c>
      <c r="B40" s="6">
        <v>1201</v>
      </c>
      <c r="C40" s="7"/>
      <c r="D40" s="7"/>
      <c r="E40" s="7"/>
      <c r="F40" s="1">
        <f t="shared" si="0"/>
        <v>0</v>
      </c>
      <c r="G40" s="85">
        <f t="shared" si="1"/>
        <v>0</v>
      </c>
      <c r="H40" s="85" t="e">
        <f t="shared" si="2"/>
        <v>#DIV/0!</v>
      </c>
    </row>
    <row r="41" spans="1:11" ht="33" customHeight="1">
      <c r="A41" s="90" t="s">
        <v>48</v>
      </c>
      <c r="B41" s="6">
        <v>1202</v>
      </c>
      <c r="C41" s="7" t="s">
        <v>26</v>
      </c>
      <c r="D41" s="7" t="s">
        <v>26</v>
      </c>
      <c r="E41" s="7" t="s">
        <v>26</v>
      </c>
      <c r="F41" s="1" t="str">
        <f>D41</f>
        <v>(    )</v>
      </c>
      <c r="G41" s="85" t="e">
        <f t="shared" si="1"/>
        <v>#VALUE!</v>
      </c>
      <c r="H41" s="85" t="e">
        <f t="shared" si="2"/>
        <v>#VALUE!</v>
      </c>
    </row>
    <row r="42" spans="1:11" ht="33" customHeight="1">
      <c r="A42" s="88" t="s">
        <v>117</v>
      </c>
      <c r="B42" s="5">
        <v>1210</v>
      </c>
      <c r="C42" s="1">
        <f>SUM(C8,C22,C32,C34,C38)</f>
        <v>26686.499999999996</v>
      </c>
      <c r="D42" s="1">
        <f>SUM(D8,D22,D32,D34,D38)</f>
        <v>28468.600000000002</v>
      </c>
      <c r="E42" s="1">
        <f>SUM(E8,E22,E32,E34,E38)</f>
        <v>36658.400000000001</v>
      </c>
      <c r="F42" s="1">
        <f t="shared" si="0"/>
        <v>28468.600000000002</v>
      </c>
      <c r="G42" s="1">
        <f t="shared" si="1"/>
        <v>-8189.7999999999993</v>
      </c>
      <c r="H42" s="1">
        <f t="shared" si="2"/>
        <v>77.659144970866151</v>
      </c>
      <c r="K42" s="80"/>
    </row>
    <row r="43" spans="1:11" ht="33" customHeight="1">
      <c r="A43" s="88" t="s">
        <v>118</v>
      </c>
      <c r="B43" s="5">
        <v>1220</v>
      </c>
      <c r="C43" s="1">
        <f>SUM(C9,C16,C25,C33,C35,C37)</f>
        <v>-28466.9</v>
      </c>
      <c r="D43" s="1">
        <f>SUM(D9,D16,D25,D33,D35,D37)</f>
        <v>-28104.400000000001</v>
      </c>
      <c r="E43" s="1">
        <f>SUM(E9,E16,E25,E33,E35,E37)</f>
        <v>-35817.9</v>
      </c>
      <c r="F43" s="1">
        <f t="shared" si="0"/>
        <v>-28104.400000000001</v>
      </c>
      <c r="G43" s="1">
        <f t="shared" si="1"/>
        <v>7713.5</v>
      </c>
      <c r="H43" s="1">
        <f t="shared" si="2"/>
        <v>78.464678275387442</v>
      </c>
    </row>
    <row r="44" spans="1:11" ht="33" customHeight="1">
      <c r="A44" s="270" t="s">
        <v>132</v>
      </c>
      <c r="B44" s="270"/>
      <c r="C44" s="270"/>
      <c r="D44" s="270"/>
      <c r="E44" s="270"/>
      <c r="F44" s="270"/>
      <c r="G44" s="270"/>
      <c r="H44" s="270"/>
    </row>
    <row r="45" spans="1:11" ht="33" customHeight="1">
      <c r="A45" s="89" t="s">
        <v>56</v>
      </c>
      <c r="B45" s="84">
        <v>9000</v>
      </c>
      <c r="C45" s="7">
        <v>3359.9</v>
      </c>
      <c r="D45" s="7">
        <v>5961.4</v>
      </c>
      <c r="E45" s="7">
        <v>3530.2</v>
      </c>
      <c r="F45" s="7">
        <f>D45</f>
        <v>5961.4</v>
      </c>
      <c r="G45" s="13">
        <f t="shared" ref="G45:G48" si="3">F45-E45</f>
        <v>2431.1999999999998</v>
      </c>
      <c r="H45" s="13">
        <f t="shared" ref="H45:H50" si="4">(F45/E45)*100</f>
        <v>168.86861934168036</v>
      </c>
    </row>
    <row r="46" spans="1:11" ht="33" customHeight="1">
      <c r="A46" s="89" t="s">
        <v>2</v>
      </c>
      <c r="B46" s="84">
        <v>9010</v>
      </c>
      <c r="C46" s="7">
        <v>17501.7</v>
      </c>
      <c r="D46" s="7">
        <v>15380.8</v>
      </c>
      <c r="E46" s="7">
        <v>23107.7</v>
      </c>
      <c r="F46" s="7">
        <f>D46</f>
        <v>15380.8</v>
      </c>
      <c r="G46" s="13">
        <f t="shared" si="3"/>
        <v>-7726.9000000000015</v>
      </c>
      <c r="H46" s="13">
        <f t="shared" si="4"/>
        <v>66.561362662662233</v>
      </c>
    </row>
    <row r="47" spans="1:11" ht="33" customHeight="1">
      <c r="A47" s="89" t="s">
        <v>3</v>
      </c>
      <c r="B47" s="84">
        <v>9020</v>
      </c>
      <c r="C47" s="7">
        <v>3668.3</v>
      </c>
      <c r="D47" s="7">
        <v>3265.5</v>
      </c>
      <c r="E47" s="7">
        <v>5634.1</v>
      </c>
      <c r="F47" s="7">
        <f>D47</f>
        <v>3265.5</v>
      </c>
      <c r="G47" s="13">
        <f t="shared" si="3"/>
        <v>-2368.6000000000004</v>
      </c>
      <c r="H47" s="13">
        <f t="shared" si="4"/>
        <v>57.959567632807364</v>
      </c>
    </row>
    <row r="48" spans="1:11" ht="33" customHeight="1">
      <c r="A48" s="89" t="s">
        <v>4</v>
      </c>
      <c r="B48" s="84">
        <v>9030</v>
      </c>
      <c r="C48" s="7">
        <v>744</v>
      </c>
      <c r="D48" s="7">
        <v>1070.8</v>
      </c>
      <c r="E48" s="7">
        <v>715</v>
      </c>
      <c r="F48" s="7">
        <f>D48</f>
        <v>1070.8</v>
      </c>
      <c r="G48" s="13">
        <f t="shared" si="3"/>
        <v>355.79999999999995</v>
      </c>
      <c r="H48" s="13">
        <f t="shared" si="4"/>
        <v>149.76223776223776</v>
      </c>
    </row>
    <row r="49" spans="1:8" ht="33" customHeight="1">
      <c r="A49" s="89" t="s">
        <v>6</v>
      </c>
      <c r="B49" s="84">
        <v>9040</v>
      </c>
      <c r="C49" s="7">
        <v>3193</v>
      </c>
      <c r="D49" s="7">
        <v>2425.9</v>
      </c>
      <c r="E49" s="7">
        <v>2830.9</v>
      </c>
      <c r="F49" s="7">
        <f>D49</f>
        <v>2425.9</v>
      </c>
      <c r="G49" s="13">
        <f>F49-E49</f>
        <v>-405</v>
      </c>
      <c r="H49" s="13">
        <f t="shared" si="4"/>
        <v>85.693595676286691</v>
      </c>
    </row>
    <row r="50" spans="1:8" ht="33" customHeight="1">
      <c r="A50" s="91" t="s">
        <v>9</v>
      </c>
      <c r="B50" s="8">
        <v>9050</v>
      </c>
      <c r="C50" s="1">
        <f>SUM(C45:C49)</f>
        <v>28466.9</v>
      </c>
      <c r="D50" s="1">
        <f>SUM(D45:D49)</f>
        <v>28104.399999999998</v>
      </c>
      <c r="E50" s="1">
        <f>SUM(E45:E49)</f>
        <v>35817.9</v>
      </c>
      <c r="F50" s="1">
        <f>SUM(F45:F49)</f>
        <v>28104.399999999998</v>
      </c>
      <c r="G50" s="2">
        <f>F50-E50</f>
        <v>-7713.5000000000036</v>
      </c>
      <c r="H50" s="2">
        <f t="shared" si="4"/>
        <v>78.464678275387428</v>
      </c>
    </row>
    <row r="51" spans="1:8" ht="33" customHeight="1">
      <c r="A51" s="265" t="s">
        <v>100</v>
      </c>
      <c r="B51" s="265"/>
      <c r="C51" s="265"/>
      <c r="D51" s="265"/>
      <c r="E51" s="265"/>
      <c r="F51" s="265"/>
      <c r="G51" s="265"/>
      <c r="H51" s="265"/>
    </row>
    <row r="52" spans="1:8" ht="69" customHeight="1">
      <c r="A52" s="92" t="s">
        <v>137</v>
      </c>
      <c r="B52" s="5">
        <v>2110</v>
      </c>
      <c r="C52" s="1">
        <f>SUM(C53:C56)</f>
        <v>-297.32550000000003</v>
      </c>
      <c r="D52" s="1">
        <f>SUM(D53:D56)</f>
        <v>-254.71199999999996</v>
      </c>
      <c r="E52" s="1">
        <f>SUM(E53:E56)</f>
        <v>-371.61550000000005</v>
      </c>
      <c r="F52" s="1">
        <f>SUM(F53:F56)</f>
        <v>-254.71199999999996</v>
      </c>
      <c r="G52" s="1">
        <f t="shared" ref="G52:G68" si="5">F52-E52</f>
        <v>116.90350000000009</v>
      </c>
      <c r="H52" s="1">
        <f>(F52/E52)*100</f>
        <v>68.541812706951106</v>
      </c>
    </row>
    <row r="53" spans="1:8" ht="44.25" customHeight="1">
      <c r="A53" s="89" t="s">
        <v>53</v>
      </c>
      <c r="B53" s="6">
        <v>2111</v>
      </c>
      <c r="C53" s="7">
        <v>-34.799999999999997</v>
      </c>
      <c r="D53" s="7">
        <v>-24</v>
      </c>
      <c r="E53" s="7">
        <v>-25</v>
      </c>
      <c r="F53" s="7">
        <v>-24</v>
      </c>
      <c r="G53" s="7">
        <f t="shared" si="5"/>
        <v>1</v>
      </c>
      <c r="H53" s="7">
        <f t="shared" ref="H53:H68" si="6">(F53/E53)*100</f>
        <v>96</v>
      </c>
    </row>
    <row r="54" spans="1:8" ht="45.75" customHeight="1">
      <c r="A54" s="93" t="s">
        <v>54</v>
      </c>
      <c r="B54" s="6">
        <v>2112</v>
      </c>
      <c r="C54" s="7" t="s">
        <v>26</v>
      </c>
      <c r="D54" s="7" t="s">
        <v>26</v>
      </c>
      <c r="E54" s="7" t="s">
        <v>26</v>
      </c>
      <c r="F54" s="7" t="s">
        <v>26</v>
      </c>
      <c r="G54" s="85" t="e">
        <f t="shared" si="5"/>
        <v>#VALUE!</v>
      </c>
      <c r="H54" s="85" t="e">
        <f t="shared" si="6"/>
        <v>#VALUE!</v>
      </c>
    </row>
    <row r="55" spans="1:8" ht="28.5" customHeight="1">
      <c r="A55" s="89" t="s">
        <v>61</v>
      </c>
      <c r="B55" s="6">
        <v>2113</v>
      </c>
      <c r="C55" s="7">
        <f>-C46*1.5/100</f>
        <v>-262.52550000000002</v>
      </c>
      <c r="D55" s="7">
        <f>-D46*1.5/100</f>
        <v>-230.71199999999996</v>
      </c>
      <c r="E55" s="7">
        <f>-E46*1.5/100</f>
        <v>-346.61550000000005</v>
      </c>
      <c r="F55" s="7">
        <f>D55</f>
        <v>-230.71199999999996</v>
      </c>
      <c r="G55" s="7">
        <f t="shared" si="5"/>
        <v>115.90350000000009</v>
      </c>
      <c r="H55" s="7">
        <f t="shared" si="6"/>
        <v>66.561362662662205</v>
      </c>
    </row>
    <row r="56" spans="1:8" ht="33" customHeight="1">
      <c r="A56" s="89" t="s">
        <v>40</v>
      </c>
      <c r="B56" s="6">
        <v>2114</v>
      </c>
      <c r="C56" s="7" t="s">
        <v>26</v>
      </c>
      <c r="D56" s="7" t="s">
        <v>26</v>
      </c>
      <c r="E56" s="7" t="s">
        <v>26</v>
      </c>
      <c r="F56" s="7" t="s">
        <v>26</v>
      </c>
      <c r="G56" s="85" t="e">
        <f t="shared" si="5"/>
        <v>#VALUE!</v>
      </c>
      <c r="H56" s="85" t="e">
        <f t="shared" si="6"/>
        <v>#VALUE!</v>
      </c>
    </row>
    <row r="57" spans="1:8" ht="43.5" customHeight="1">
      <c r="A57" s="94" t="s">
        <v>58</v>
      </c>
      <c r="B57" s="8">
        <v>2120</v>
      </c>
      <c r="C57" s="1">
        <f>SUM(C58:C63)</f>
        <v>-3150.3060000000005</v>
      </c>
      <c r="D57" s="1">
        <f>SUM(D58:D63)</f>
        <v>-2768.5439999999999</v>
      </c>
      <c r="E57" s="1">
        <f>SUM(E58:E63)</f>
        <v>-4159.6860000000006</v>
      </c>
      <c r="F57" s="1">
        <f>SUM(F58:F63)</f>
        <v>-2768.5439999999999</v>
      </c>
      <c r="G57" s="1">
        <f t="shared" si="5"/>
        <v>1391.1420000000007</v>
      </c>
      <c r="H57" s="1">
        <f t="shared" si="6"/>
        <v>66.556562202050813</v>
      </c>
    </row>
    <row r="58" spans="1:8" ht="36" customHeight="1">
      <c r="A58" s="93" t="s">
        <v>38</v>
      </c>
      <c r="B58" s="84">
        <v>2121</v>
      </c>
      <c r="C58" s="7" t="s">
        <v>26</v>
      </c>
      <c r="D58" s="7" t="s">
        <v>26</v>
      </c>
      <c r="E58" s="7" t="s">
        <v>26</v>
      </c>
      <c r="F58" s="7" t="s">
        <v>26</v>
      </c>
      <c r="G58" s="85" t="e">
        <f t="shared" si="5"/>
        <v>#VALUE!</v>
      </c>
      <c r="H58" s="85" t="e">
        <f t="shared" si="6"/>
        <v>#VALUE!</v>
      </c>
    </row>
    <row r="59" spans="1:8" ht="33.75" customHeight="1">
      <c r="A59" s="89" t="s">
        <v>14</v>
      </c>
      <c r="B59" s="84">
        <v>2122</v>
      </c>
      <c r="C59" s="7">
        <f>-C46*18/100</f>
        <v>-3150.3060000000005</v>
      </c>
      <c r="D59" s="7">
        <f>-D46*18/100</f>
        <v>-2768.5439999999999</v>
      </c>
      <c r="E59" s="7">
        <f>-E46*18/100</f>
        <v>-4159.3860000000004</v>
      </c>
      <c r="F59" s="7">
        <f>D59</f>
        <v>-2768.5439999999999</v>
      </c>
      <c r="G59" s="7">
        <f t="shared" si="5"/>
        <v>1390.8420000000006</v>
      </c>
      <c r="H59" s="7">
        <f>(F59/E59)*100</f>
        <v>66.561362662662219</v>
      </c>
    </row>
    <row r="60" spans="1:8" ht="31.5" customHeight="1">
      <c r="A60" s="89" t="s">
        <v>44</v>
      </c>
      <c r="B60" s="84">
        <v>2123</v>
      </c>
      <c r="C60" s="7"/>
      <c r="D60" s="7" t="s">
        <v>26</v>
      </c>
      <c r="E60" s="7">
        <v>-0.3</v>
      </c>
      <c r="F60" s="7" t="s">
        <v>26</v>
      </c>
      <c r="G60" s="85" t="e">
        <f t="shared" si="5"/>
        <v>#VALUE!</v>
      </c>
      <c r="H60" s="85" t="e">
        <f t="shared" si="6"/>
        <v>#VALUE!</v>
      </c>
    </row>
    <row r="61" spans="1:8" ht="31.5" customHeight="1">
      <c r="A61" s="89" t="s">
        <v>45</v>
      </c>
      <c r="B61" s="84">
        <v>2124</v>
      </c>
      <c r="C61" s="7" t="s">
        <v>26</v>
      </c>
      <c r="D61" s="7" t="s">
        <v>26</v>
      </c>
      <c r="E61" s="7" t="s">
        <v>26</v>
      </c>
      <c r="F61" s="7" t="s">
        <v>26</v>
      </c>
      <c r="G61" s="85" t="e">
        <f t="shared" si="5"/>
        <v>#VALUE!</v>
      </c>
      <c r="H61" s="85" t="e">
        <f t="shared" si="6"/>
        <v>#VALUE!</v>
      </c>
    </row>
    <row r="62" spans="1:8" ht="103.5" customHeight="1">
      <c r="A62" s="89" t="s">
        <v>367</v>
      </c>
      <c r="B62" s="84">
        <v>2125</v>
      </c>
      <c r="C62" s="7" t="s">
        <v>26</v>
      </c>
      <c r="D62" s="7" t="s">
        <v>26</v>
      </c>
      <c r="E62" s="7" t="s">
        <v>26</v>
      </c>
      <c r="F62" s="7" t="s">
        <v>26</v>
      </c>
      <c r="G62" s="85" t="e">
        <f t="shared" si="5"/>
        <v>#VALUE!</v>
      </c>
      <c r="H62" s="85" t="e">
        <f t="shared" si="6"/>
        <v>#VALUE!</v>
      </c>
    </row>
    <row r="63" spans="1:8" ht="31.5" customHeight="1">
      <c r="A63" s="89" t="s">
        <v>40</v>
      </c>
      <c r="B63" s="84">
        <v>2126</v>
      </c>
      <c r="C63" s="7" t="s">
        <v>26</v>
      </c>
      <c r="D63" s="7" t="s">
        <v>26</v>
      </c>
      <c r="E63" s="7" t="s">
        <v>26</v>
      </c>
      <c r="F63" s="7" t="s">
        <v>26</v>
      </c>
      <c r="G63" s="85" t="e">
        <f t="shared" si="5"/>
        <v>#VALUE!</v>
      </c>
      <c r="H63" s="85" t="e">
        <f t="shared" si="6"/>
        <v>#VALUE!</v>
      </c>
    </row>
    <row r="64" spans="1:8" ht="48" customHeight="1">
      <c r="A64" s="92" t="s">
        <v>59</v>
      </c>
      <c r="B64" s="8">
        <v>2130</v>
      </c>
      <c r="C64" s="1">
        <f>SUM(C65:C67)</f>
        <v>-3758.2000000000003</v>
      </c>
      <c r="D64" s="1">
        <f>SUM(D65:D67)</f>
        <v>-3324.2</v>
      </c>
      <c r="E64" s="1">
        <f>SUM(E65:E67)</f>
        <v>-5709.1</v>
      </c>
      <c r="F64" s="1">
        <f>SUM(F65:F67)</f>
        <v>-3324.2</v>
      </c>
      <c r="G64" s="1">
        <f t="shared" si="5"/>
        <v>2384.9000000000005</v>
      </c>
      <c r="H64" s="1">
        <f t="shared" si="6"/>
        <v>58.226340403916545</v>
      </c>
    </row>
    <row r="65" spans="1:9" ht="33" customHeight="1">
      <c r="A65" s="89" t="s">
        <v>41</v>
      </c>
      <c r="B65" s="84">
        <v>2131</v>
      </c>
      <c r="C65" s="7" t="s">
        <v>26</v>
      </c>
      <c r="D65" s="7" t="s">
        <v>26</v>
      </c>
      <c r="E65" s="7" t="s">
        <v>26</v>
      </c>
      <c r="F65" s="7" t="s">
        <v>26</v>
      </c>
      <c r="G65" s="85" t="e">
        <f t="shared" si="5"/>
        <v>#VALUE!</v>
      </c>
      <c r="H65" s="85" t="e">
        <f t="shared" si="6"/>
        <v>#VALUE!</v>
      </c>
    </row>
    <row r="66" spans="1:9" ht="44.25" customHeight="1">
      <c r="A66" s="89" t="s">
        <v>42</v>
      </c>
      <c r="B66" s="84">
        <v>2132</v>
      </c>
      <c r="C66" s="7">
        <v>-3668.3</v>
      </c>
      <c r="D66" s="7">
        <v>-3265.5</v>
      </c>
      <c r="E66" s="7">
        <v>-5634.1</v>
      </c>
      <c r="F66" s="7">
        <f>D66</f>
        <v>-3265.5</v>
      </c>
      <c r="G66" s="7">
        <f>F66-E66</f>
        <v>2368.6000000000004</v>
      </c>
      <c r="H66" s="7">
        <f t="shared" si="6"/>
        <v>57.959567632807364</v>
      </c>
    </row>
    <row r="67" spans="1:9" ht="35.25" customHeight="1">
      <c r="A67" s="89" t="s">
        <v>43</v>
      </c>
      <c r="B67" s="84">
        <v>2133</v>
      </c>
      <c r="C67" s="7">
        <v>-89.9</v>
      </c>
      <c r="D67" s="7">
        <v>-58.7</v>
      </c>
      <c r="E67" s="7">
        <v>-75</v>
      </c>
      <c r="F67" s="7">
        <v>-58.7</v>
      </c>
      <c r="G67" s="7">
        <f t="shared" si="5"/>
        <v>16.299999999999997</v>
      </c>
      <c r="H67" s="7">
        <f t="shared" si="6"/>
        <v>78.26666666666668</v>
      </c>
      <c r="I67" s="68" t="s">
        <v>257</v>
      </c>
    </row>
    <row r="68" spans="1:9" ht="30.75" customHeight="1">
      <c r="A68" s="94" t="s">
        <v>55</v>
      </c>
      <c r="B68" s="8">
        <v>2200</v>
      </c>
      <c r="C68" s="1">
        <f>SUM(C52+C57+C64)</f>
        <v>-7205.8315000000002</v>
      </c>
      <c r="D68" s="1">
        <f>SUM(D52+D57+D64)</f>
        <v>-6347.4560000000001</v>
      </c>
      <c r="E68" s="1">
        <f>SUM(E52+E57+E64)</f>
        <v>-10240.4015</v>
      </c>
      <c r="F68" s="1">
        <f>SUM(F52+F57+F64)</f>
        <v>-6347.4560000000001</v>
      </c>
      <c r="G68" s="1">
        <f t="shared" si="5"/>
        <v>3892.9454999999998</v>
      </c>
      <c r="H68" s="1">
        <f t="shared" si="6"/>
        <v>61.984444652878111</v>
      </c>
    </row>
    <row r="69" spans="1:9" ht="33" customHeight="1">
      <c r="A69" s="266" t="s">
        <v>101</v>
      </c>
      <c r="B69" s="266"/>
      <c r="C69" s="266"/>
      <c r="D69" s="266"/>
      <c r="E69" s="266"/>
      <c r="F69" s="266"/>
      <c r="G69" s="266"/>
      <c r="H69" s="266"/>
    </row>
    <row r="70" spans="1:9" ht="27.75" customHeight="1">
      <c r="A70" s="88" t="s">
        <v>19</v>
      </c>
      <c r="B70" s="5">
        <v>4000</v>
      </c>
      <c r="C70" s="1">
        <f>SUM(C71:C77)</f>
        <v>-489.4</v>
      </c>
      <c r="D70" s="1">
        <f>SUM(D71:D77)</f>
        <v>-529.5</v>
      </c>
      <c r="E70" s="1">
        <f>SUM(E71:E77)</f>
        <v>0</v>
      </c>
      <c r="F70" s="1">
        <f>SUM(F71:F77)</f>
        <v>-529.5</v>
      </c>
      <c r="G70" s="1">
        <f>F70-E70</f>
        <v>-529.5</v>
      </c>
      <c r="H70" s="1" t="e">
        <f>(F70/E70)*100</f>
        <v>#DIV/0!</v>
      </c>
    </row>
    <row r="71" spans="1:9" ht="37.5" customHeight="1">
      <c r="A71" s="89" t="s">
        <v>62</v>
      </c>
      <c r="B71" s="6">
        <v>4010</v>
      </c>
      <c r="C71" s="7" t="s">
        <v>26</v>
      </c>
      <c r="D71" s="7" t="s">
        <v>26</v>
      </c>
      <c r="E71" s="7" t="s">
        <v>26</v>
      </c>
      <c r="F71" s="7" t="s">
        <v>26</v>
      </c>
      <c r="G71" s="85" t="e">
        <f t="shared" ref="G71:G77" si="7">F71-E71</f>
        <v>#VALUE!</v>
      </c>
      <c r="H71" s="85" t="e">
        <f t="shared" ref="H71:H77" si="8">(F71/E71)*100</f>
        <v>#VALUE!</v>
      </c>
    </row>
    <row r="72" spans="1:9" ht="48.75" customHeight="1">
      <c r="A72" s="89" t="s">
        <v>128</v>
      </c>
      <c r="B72" s="6">
        <v>4020</v>
      </c>
      <c r="C72" s="7">
        <v>-162.5</v>
      </c>
      <c r="D72" s="7">
        <v>-375.1</v>
      </c>
      <c r="E72" s="7" t="s">
        <v>26</v>
      </c>
      <c r="F72" s="7">
        <f>D72</f>
        <v>-375.1</v>
      </c>
      <c r="G72" s="85" t="e">
        <f t="shared" si="7"/>
        <v>#VALUE!</v>
      </c>
      <c r="H72" s="85" t="e">
        <f t="shared" si="8"/>
        <v>#VALUE!</v>
      </c>
    </row>
    <row r="73" spans="1:9" ht="48.75" customHeight="1">
      <c r="A73" s="89" t="s">
        <v>71</v>
      </c>
      <c r="B73" s="6">
        <v>4030</v>
      </c>
      <c r="C73" s="7">
        <v>-22</v>
      </c>
      <c r="D73" s="7">
        <v>-154.4</v>
      </c>
      <c r="E73" s="7" t="s">
        <v>26</v>
      </c>
      <c r="F73" s="7">
        <f>D73</f>
        <v>-154.4</v>
      </c>
      <c r="G73" s="85" t="e">
        <f t="shared" si="7"/>
        <v>#VALUE!</v>
      </c>
      <c r="H73" s="85" t="e">
        <f t="shared" si="8"/>
        <v>#VALUE!</v>
      </c>
    </row>
    <row r="74" spans="1:9" ht="49.5" customHeight="1">
      <c r="A74" s="89" t="s">
        <v>129</v>
      </c>
      <c r="B74" s="6">
        <v>4040</v>
      </c>
      <c r="C74" s="7" t="s">
        <v>26</v>
      </c>
      <c r="D74" s="7" t="s">
        <v>26</v>
      </c>
      <c r="E74" s="7" t="s">
        <v>26</v>
      </c>
      <c r="F74" s="7" t="s">
        <v>26</v>
      </c>
      <c r="G74" s="85" t="e">
        <f t="shared" si="7"/>
        <v>#VALUE!</v>
      </c>
      <c r="H74" s="85" t="e">
        <f t="shared" si="8"/>
        <v>#VALUE!</v>
      </c>
    </row>
    <row r="75" spans="1:9" ht="73.5" customHeight="1">
      <c r="A75" s="89" t="s">
        <v>63</v>
      </c>
      <c r="B75" s="6">
        <v>4050</v>
      </c>
      <c r="C75" s="7" t="s">
        <v>26</v>
      </c>
      <c r="D75" s="7" t="s">
        <v>26</v>
      </c>
      <c r="E75" s="7" t="s">
        <v>26</v>
      </c>
      <c r="F75" s="7" t="s">
        <v>26</v>
      </c>
      <c r="G75" s="85" t="e">
        <f t="shared" si="7"/>
        <v>#VALUE!</v>
      </c>
      <c r="H75" s="85" t="e">
        <f t="shared" si="8"/>
        <v>#VALUE!</v>
      </c>
    </row>
    <row r="76" spans="1:9" ht="36.75" customHeight="1">
      <c r="A76" s="89" t="s">
        <v>64</v>
      </c>
      <c r="B76" s="6">
        <v>4060</v>
      </c>
      <c r="C76" s="7">
        <v>-304.89999999999998</v>
      </c>
      <c r="D76" s="7"/>
      <c r="E76" s="7" t="s">
        <v>26</v>
      </c>
      <c r="F76" s="7"/>
      <c r="G76" s="85" t="e">
        <f t="shared" si="7"/>
        <v>#VALUE!</v>
      </c>
      <c r="H76" s="85" t="e">
        <f t="shared" si="8"/>
        <v>#VALUE!</v>
      </c>
    </row>
    <row r="77" spans="1:9" ht="39.75" customHeight="1">
      <c r="A77" s="89" t="s">
        <v>50</v>
      </c>
      <c r="B77" s="6">
        <v>4070</v>
      </c>
      <c r="C77" s="7" t="s">
        <v>26</v>
      </c>
      <c r="D77" s="7" t="s">
        <v>26</v>
      </c>
      <c r="E77" s="7" t="s">
        <v>26</v>
      </c>
      <c r="F77" s="7" t="s">
        <v>26</v>
      </c>
      <c r="G77" s="85" t="e">
        <f t="shared" si="7"/>
        <v>#VALUE!</v>
      </c>
      <c r="H77" s="85" t="e">
        <f t="shared" si="8"/>
        <v>#VALUE!</v>
      </c>
    </row>
    <row r="78" spans="1:9" ht="36.75" customHeight="1">
      <c r="A78" s="265" t="s">
        <v>102</v>
      </c>
      <c r="B78" s="265"/>
      <c r="C78" s="265"/>
      <c r="D78" s="265"/>
      <c r="E78" s="265"/>
      <c r="F78" s="265"/>
      <c r="G78" s="265"/>
      <c r="H78" s="265"/>
    </row>
    <row r="79" spans="1:9" ht="59.25" customHeight="1">
      <c r="A79" s="52"/>
      <c r="B79" s="52"/>
      <c r="C79" s="267" t="s">
        <v>122</v>
      </c>
      <c r="D79" s="267"/>
      <c r="E79" s="268" t="s">
        <v>281</v>
      </c>
      <c r="F79" s="268"/>
      <c r="G79" s="268"/>
      <c r="H79" s="268"/>
    </row>
    <row r="80" spans="1:9" ht="45" customHeight="1">
      <c r="A80" s="52"/>
      <c r="B80" s="52"/>
      <c r="C80" s="84" t="s">
        <v>208</v>
      </c>
      <c r="D80" s="84" t="s">
        <v>280</v>
      </c>
      <c r="E80" s="4" t="s">
        <v>108</v>
      </c>
      <c r="F80" s="4" t="s">
        <v>109</v>
      </c>
      <c r="G80" s="4" t="s">
        <v>110</v>
      </c>
      <c r="H80" s="4" t="s">
        <v>111</v>
      </c>
    </row>
    <row r="81" spans="1:19" s="31" customFormat="1" ht="86.25" customHeight="1">
      <c r="A81" s="94" t="s">
        <v>130</v>
      </c>
      <c r="B81" s="10" t="s">
        <v>30</v>
      </c>
      <c r="C81" s="11">
        <f>SUM(C82:C84)</f>
        <v>524</v>
      </c>
      <c r="D81" s="11">
        <f>SUM(D82:D84)</f>
        <v>464</v>
      </c>
      <c r="E81" s="11">
        <f>SUM(E82:E84)</f>
        <v>568</v>
      </c>
      <c r="F81" s="11">
        <f>SUM(F82:F84)</f>
        <v>464</v>
      </c>
      <c r="G81" s="11" t="s">
        <v>131</v>
      </c>
      <c r="H81" s="2" t="s">
        <v>131</v>
      </c>
    </row>
    <row r="82" spans="1:19" ht="27.75" customHeight="1">
      <c r="A82" s="90" t="s">
        <v>21</v>
      </c>
      <c r="B82" s="6" t="s">
        <v>31</v>
      </c>
      <c r="C82" s="12">
        <v>1</v>
      </c>
      <c r="D82" s="12">
        <v>1</v>
      </c>
      <c r="E82" s="12">
        <v>1</v>
      </c>
      <c r="F82" s="12">
        <f>D82</f>
        <v>1</v>
      </c>
      <c r="G82" s="12" t="s">
        <v>131</v>
      </c>
      <c r="H82" s="13" t="s">
        <v>131</v>
      </c>
      <c r="K82" s="78"/>
      <c r="L82" s="78"/>
    </row>
    <row r="83" spans="1:19" ht="27.75" customHeight="1">
      <c r="A83" s="90" t="s">
        <v>24</v>
      </c>
      <c r="B83" s="6" t="s">
        <v>32</v>
      </c>
      <c r="C83" s="12">
        <v>50</v>
      </c>
      <c r="D83" s="12">
        <v>51</v>
      </c>
      <c r="E83" s="12">
        <v>51</v>
      </c>
      <c r="F83" s="12">
        <f t="shared" ref="F83:F84" si="9">D83</f>
        <v>51</v>
      </c>
      <c r="G83" s="12" t="s">
        <v>131</v>
      </c>
      <c r="H83" s="13" t="s">
        <v>131</v>
      </c>
      <c r="J83" s="78"/>
      <c r="K83" s="78"/>
      <c r="L83" s="81"/>
    </row>
    <row r="84" spans="1:19" ht="27.75" customHeight="1">
      <c r="A84" s="90" t="s">
        <v>22</v>
      </c>
      <c r="B84" s="6" t="s">
        <v>33</v>
      </c>
      <c r="C84" s="12">
        <v>473</v>
      </c>
      <c r="D84" s="12">
        <v>412</v>
      </c>
      <c r="E84" s="12">
        <v>516</v>
      </c>
      <c r="F84" s="12">
        <f t="shared" si="9"/>
        <v>412</v>
      </c>
      <c r="G84" s="12" t="s">
        <v>131</v>
      </c>
      <c r="H84" s="13" t="s">
        <v>131</v>
      </c>
      <c r="J84" s="78"/>
      <c r="K84" s="78"/>
      <c r="L84" s="81"/>
      <c r="M84" s="134"/>
      <c r="N84" s="135"/>
      <c r="O84" s="136"/>
      <c r="P84" s="137"/>
      <c r="Q84" s="136"/>
      <c r="R84" s="136"/>
    </row>
    <row r="85" spans="1:19" ht="27.75" customHeight="1">
      <c r="A85" s="88" t="s">
        <v>72</v>
      </c>
      <c r="B85" s="5" t="s">
        <v>34</v>
      </c>
      <c r="C85" s="1">
        <f>SUM(C86:C88)</f>
        <v>17501.7</v>
      </c>
      <c r="D85" s="1">
        <f>SUM(D86:D88)</f>
        <v>15380.8</v>
      </c>
      <c r="E85" s="1">
        <f>SUM(E86:E88)</f>
        <v>23107.7</v>
      </c>
      <c r="F85" s="1">
        <f>SUM(F86:F88)</f>
        <v>15380.8</v>
      </c>
      <c r="G85" s="2" t="s">
        <v>131</v>
      </c>
      <c r="H85" s="2" t="s">
        <v>131</v>
      </c>
      <c r="I85" s="78"/>
      <c r="J85" s="78"/>
      <c r="K85" s="78"/>
      <c r="M85" s="138"/>
      <c r="N85" s="139"/>
      <c r="O85" s="140"/>
      <c r="P85" s="141"/>
      <c r="Q85" s="140"/>
      <c r="R85" s="140"/>
    </row>
    <row r="86" spans="1:19" ht="27.75" customHeight="1">
      <c r="A86" s="90" t="s">
        <v>21</v>
      </c>
      <c r="B86" s="6">
        <v>8011</v>
      </c>
      <c r="C86" s="7">
        <v>43.2</v>
      </c>
      <c r="D86" s="7">
        <v>174.6</v>
      </c>
      <c r="E86" s="79">
        <v>103.5</v>
      </c>
      <c r="F86" s="79">
        <f>D86</f>
        <v>174.6</v>
      </c>
      <c r="G86" s="13" t="s">
        <v>131</v>
      </c>
      <c r="H86" s="13" t="s">
        <v>131</v>
      </c>
      <c r="J86" s="78"/>
      <c r="K86" s="78"/>
      <c r="M86" s="138"/>
      <c r="N86" s="139"/>
      <c r="O86" s="140"/>
      <c r="P86" s="141"/>
      <c r="Q86" s="140"/>
      <c r="R86" s="140"/>
    </row>
    <row r="87" spans="1:19" ht="27.75" customHeight="1">
      <c r="A87" s="90" t="s">
        <v>24</v>
      </c>
      <c r="B87" s="6">
        <v>8012</v>
      </c>
      <c r="C87" s="7">
        <v>1670</v>
      </c>
      <c r="D87" s="7">
        <v>1329.8</v>
      </c>
      <c r="E87" s="79">
        <v>1921.7</v>
      </c>
      <c r="F87" s="79">
        <f>D87</f>
        <v>1329.8</v>
      </c>
      <c r="G87" s="13" t="s">
        <v>131</v>
      </c>
      <c r="H87" s="13" t="s">
        <v>131</v>
      </c>
      <c r="J87" s="78"/>
      <c r="K87" s="78"/>
      <c r="M87" s="138"/>
      <c r="N87" s="139"/>
      <c r="O87" s="140"/>
      <c r="P87" s="141"/>
      <c r="Q87" s="140"/>
      <c r="R87" s="140"/>
    </row>
    <row r="88" spans="1:19" ht="27.75" customHeight="1">
      <c r="A88" s="90" t="s">
        <v>22</v>
      </c>
      <c r="B88" s="6">
        <v>8013</v>
      </c>
      <c r="C88" s="7">
        <v>15788.5</v>
      </c>
      <c r="D88" s="7">
        <v>13876.4</v>
      </c>
      <c r="E88" s="79">
        <v>21082.5</v>
      </c>
      <c r="F88" s="79">
        <f>D88</f>
        <v>13876.4</v>
      </c>
      <c r="G88" s="13" t="s">
        <v>131</v>
      </c>
      <c r="H88" s="13" t="s">
        <v>131</v>
      </c>
      <c r="J88" s="78"/>
      <c r="K88" s="78"/>
      <c r="M88" s="142"/>
      <c r="N88" s="143"/>
      <c r="O88" s="144"/>
      <c r="P88" s="145"/>
      <c r="Q88" s="144"/>
      <c r="R88" s="144"/>
    </row>
    <row r="89" spans="1:19" ht="27.75" customHeight="1">
      <c r="A89" s="88" t="s">
        <v>2</v>
      </c>
      <c r="B89" s="5">
        <v>8020</v>
      </c>
      <c r="C89" s="1">
        <f>C46</f>
        <v>17501.7</v>
      </c>
      <c r="D89" s="1">
        <f>D46</f>
        <v>15380.8</v>
      </c>
      <c r="E89" s="1">
        <f>E46</f>
        <v>23107.7</v>
      </c>
      <c r="F89" s="1">
        <f>F46</f>
        <v>15380.8</v>
      </c>
      <c r="G89" s="2" t="s">
        <v>131</v>
      </c>
      <c r="H89" s="2" t="s">
        <v>131</v>
      </c>
      <c r="J89" s="78"/>
      <c r="K89" s="78"/>
      <c r="M89" s="138"/>
      <c r="N89" s="139"/>
      <c r="O89" s="146"/>
      <c r="P89" s="147"/>
      <c r="Q89" s="146"/>
      <c r="R89" s="146"/>
    </row>
    <row r="90" spans="1:19" ht="27.75" customHeight="1">
      <c r="A90" s="90" t="s">
        <v>21</v>
      </c>
      <c r="B90" s="6">
        <v>8021</v>
      </c>
      <c r="C90" s="7">
        <v>99.3</v>
      </c>
      <c r="D90" s="7">
        <f>D86</f>
        <v>174.6</v>
      </c>
      <c r="E90" s="79">
        <f>E86</f>
        <v>103.5</v>
      </c>
      <c r="F90" s="79">
        <f>D90</f>
        <v>174.6</v>
      </c>
      <c r="G90" s="13" t="s">
        <v>131</v>
      </c>
      <c r="H90" s="13" t="s">
        <v>131</v>
      </c>
      <c r="J90" s="78"/>
      <c r="K90" s="78"/>
      <c r="M90" s="138"/>
      <c r="N90" s="139"/>
      <c r="O90" s="146"/>
      <c r="P90" s="147"/>
      <c r="Q90" s="146"/>
      <c r="R90" s="146"/>
    </row>
    <row r="91" spans="1:19" ht="27.75" customHeight="1">
      <c r="A91" s="90" t="s">
        <v>24</v>
      </c>
      <c r="B91" s="6">
        <v>8022</v>
      </c>
      <c r="C91" s="7">
        <f>C87</f>
        <v>1670</v>
      </c>
      <c r="D91" s="7">
        <f t="shared" ref="D91:D92" si="10">D87</f>
        <v>1329.8</v>
      </c>
      <c r="E91" s="79">
        <f>E87</f>
        <v>1921.7</v>
      </c>
      <c r="F91" s="79">
        <f>D91</f>
        <v>1329.8</v>
      </c>
      <c r="G91" s="13" t="s">
        <v>131</v>
      </c>
      <c r="H91" s="13" t="s">
        <v>131</v>
      </c>
      <c r="J91" s="78"/>
      <c r="K91" s="81"/>
      <c r="M91" s="138"/>
      <c r="N91" s="139"/>
      <c r="O91" s="146"/>
      <c r="P91" s="147"/>
      <c r="Q91" s="146"/>
      <c r="R91" s="146"/>
    </row>
    <row r="92" spans="1:19" ht="27.75" customHeight="1">
      <c r="A92" s="90" t="s">
        <v>22</v>
      </c>
      <c r="B92" s="6">
        <v>8023</v>
      </c>
      <c r="C92" s="7">
        <v>15732.4</v>
      </c>
      <c r="D92" s="7">
        <f t="shared" si="10"/>
        <v>13876.4</v>
      </c>
      <c r="E92" s="79">
        <f>E88</f>
        <v>21082.5</v>
      </c>
      <c r="F92" s="79">
        <f>D92</f>
        <v>13876.4</v>
      </c>
      <c r="G92" s="13" t="s">
        <v>131</v>
      </c>
      <c r="H92" s="13" t="s">
        <v>131</v>
      </c>
      <c r="J92" s="78"/>
      <c r="M92" s="142"/>
      <c r="N92" s="143"/>
      <c r="O92" s="144"/>
      <c r="P92" s="145"/>
      <c r="Q92" s="144"/>
      <c r="R92" s="144"/>
    </row>
    <row r="93" spans="1:19" s="31" customFormat="1" ht="66" customHeight="1">
      <c r="A93" s="94" t="s">
        <v>49</v>
      </c>
      <c r="B93" s="10" t="s">
        <v>73</v>
      </c>
      <c r="C93" s="11">
        <f t="shared" ref="C93:F94" si="11">(C89/C81)/3*1000</f>
        <v>11133.396946564886</v>
      </c>
      <c r="D93" s="11">
        <f t="shared" si="11"/>
        <v>11049.425287356322</v>
      </c>
      <c r="E93" s="11">
        <f t="shared" si="11"/>
        <v>13560.856807511738</v>
      </c>
      <c r="F93" s="11">
        <f t="shared" si="11"/>
        <v>11049.425287356322</v>
      </c>
      <c r="G93" s="11" t="s">
        <v>131</v>
      </c>
      <c r="H93" s="2" t="s">
        <v>131</v>
      </c>
      <c r="M93" s="138"/>
      <c r="N93" s="139"/>
      <c r="O93" s="146"/>
      <c r="P93" s="147"/>
      <c r="Q93" s="146"/>
      <c r="R93" s="146"/>
      <c r="S93" s="97"/>
    </row>
    <row r="94" spans="1:19" ht="27.75" customHeight="1">
      <c r="A94" s="90" t="s">
        <v>21</v>
      </c>
      <c r="B94" s="6">
        <v>8031</v>
      </c>
      <c r="C94" s="12">
        <f t="shared" si="11"/>
        <v>33100</v>
      </c>
      <c r="D94" s="12">
        <f t="shared" si="11"/>
        <v>58199.999999999993</v>
      </c>
      <c r="E94" s="12">
        <f>(E90/E82)/3*1000</f>
        <v>34500</v>
      </c>
      <c r="F94" s="12">
        <f t="shared" si="11"/>
        <v>58199.999999999993</v>
      </c>
      <c r="G94" s="12" t="s">
        <v>131</v>
      </c>
      <c r="H94" s="13" t="s">
        <v>131</v>
      </c>
      <c r="M94" s="138"/>
      <c r="N94" s="139"/>
      <c r="O94" s="146"/>
      <c r="P94" s="147"/>
      <c r="Q94" s="146"/>
      <c r="R94" s="146"/>
    </row>
    <row r="95" spans="1:19" ht="27.75" customHeight="1">
      <c r="A95" s="90" t="s">
        <v>24</v>
      </c>
      <c r="B95" s="6">
        <v>8032</v>
      </c>
      <c r="C95" s="12">
        <f t="shared" ref="C95:F96" si="12">(C91/C83)/3*1000</f>
        <v>11133.333333333332</v>
      </c>
      <c r="D95" s="12">
        <f t="shared" si="12"/>
        <v>8691.5032679738561</v>
      </c>
      <c r="E95" s="12">
        <f t="shared" si="12"/>
        <v>12560.130718954248</v>
      </c>
      <c r="F95" s="12">
        <f t="shared" si="12"/>
        <v>8691.5032679738561</v>
      </c>
      <c r="G95" s="12" t="s">
        <v>131</v>
      </c>
      <c r="H95" s="13" t="s">
        <v>131</v>
      </c>
      <c r="M95" s="138"/>
      <c r="N95" s="139"/>
      <c r="O95" s="146"/>
      <c r="P95" s="147"/>
      <c r="Q95" s="146"/>
      <c r="R95" s="146"/>
    </row>
    <row r="96" spans="1:19" ht="27.75" customHeight="1">
      <c r="A96" s="90" t="s">
        <v>22</v>
      </c>
      <c r="B96" s="6">
        <v>8033</v>
      </c>
      <c r="C96" s="12">
        <f t="shared" si="12"/>
        <v>11086.962649753346</v>
      </c>
      <c r="D96" s="12">
        <f t="shared" si="12"/>
        <v>11226.860841423948</v>
      </c>
      <c r="E96" s="12">
        <f t="shared" si="12"/>
        <v>13619.186046511628</v>
      </c>
      <c r="F96" s="12">
        <f t="shared" si="12"/>
        <v>11226.860841423948</v>
      </c>
      <c r="G96" s="12" t="s">
        <v>131</v>
      </c>
      <c r="H96" s="13" t="s">
        <v>131</v>
      </c>
      <c r="M96" s="134"/>
      <c r="N96" s="135"/>
      <c r="O96" s="136"/>
      <c r="P96" s="137"/>
      <c r="Q96" s="136"/>
      <c r="R96" s="136"/>
    </row>
    <row r="97" spans="1:19" s="31" customFormat="1">
      <c r="A97" s="71"/>
      <c r="C97" s="72"/>
      <c r="D97" s="73"/>
      <c r="E97" s="74"/>
      <c r="F97" s="74"/>
      <c r="G97" s="74"/>
      <c r="H97" s="74"/>
      <c r="M97" s="138"/>
      <c r="N97" s="139"/>
      <c r="O97" s="140"/>
      <c r="P97" s="141"/>
      <c r="Q97" s="140"/>
      <c r="R97" s="140"/>
      <c r="S97" s="97"/>
    </row>
    <row r="98" spans="1:19" s="31" customFormat="1">
      <c r="A98" s="71"/>
      <c r="C98" s="72"/>
      <c r="D98" s="73"/>
      <c r="E98" s="74"/>
      <c r="F98" s="74"/>
      <c r="G98" s="74"/>
      <c r="H98" s="74"/>
      <c r="M98" s="138"/>
      <c r="N98" s="139"/>
      <c r="O98" s="140"/>
      <c r="P98" s="141"/>
      <c r="Q98" s="140"/>
      <c r="R98" s="140"/>
      <c r="S98" s="97"/>
    </row>
    <row r="99" spans="1:19" s="31" customFormat="1" ht="28.5" customHeight="1">
      <c r="A99" s="87" t="s">
        <v>258</v>
      </c>
      <c r="B99" s="75"/>
      <c r="C99" s="263"/>
      <c r="D99" s="264"/>
      <c r="E99" s="76"/>
      <c r="F99" s="76"/>
      <c r="G99" s="269" t="s">
        <v>207</v>
      </c>
      <c r="H99" s="269"/>
      <c r="I99" s="59"/>
      <c r="M99" s="138"/>
      <c r="N99" s="139"/>
      <c r="O99" s="140"/>
      <c r="P99" s="141"/>
      <c r="Q99" s="140"/>
      <c r="R99" s="140"/>
      <c r="S99" s="97"/>
    </row>
    <row r="100" spans="1:19" s="31" customFormat="1">
      <c r="A100" s="31" t="s">
        <v>10</v>
      </c>
      <c r="B100" s="68"/>
      <c r="C100" s="261" t="s">
        <v>11</v>
      </c>
      <c r="D100" s="261"/>
      <c r="E100" s="69"/>
      <c r="F100" s="69"/>
      <c r="G100" s="262" t="s">
        <v>16</v>
      </c>
      <c r="H100" s="262"/>
      <c r="M100" s="97"/>
      <c r="N100" s="97"/>
      <c r="O100" s="97"/>
      <c r="P100" s="97"/>
      <c r="Q100" s="97"/>
      <c r="R100" s="97"/>
      <c r="S100" s="97"/>
    </row>
    <row r="101" spans="1:19" s="31" customFormat="1">
      <c r="A101" s="77"/>
      <c r="E101" s="68"/>
      <c r="F101" s="68"/>
      <c r="G101" s="68"/>
      <c r="H101" s="68"/>
      <c r="M101" s="97"/>
      <c r="N101" s="97"/>
      <c r="O101" s="97"/>
      <c r="P101" s="97"/>
      <c r="Q101" s="97"/>
      <c r="R101" s="97"/>
      <c r="S101" s="97"/>
    </row>
    <row r="102" spans="1:19" s="31" customFormat="1">
      <c r="A102" s="77"/>
      <c r="E102" s="68"/>
      <c r="F102" s="68"/>
      <c r="G102" s="68"/>
      <c r="H102" s="68"/>
      <c r="M102" s="97"/>
      <c r="N102" s="97"/>
      <c r="O102" s="97"/>
      <c r="P102" s="97"/>
      <c r="Q102" s="97"/>
      <c r="R102" s="97"/>
      <c r="S102" s="97"/>
    </row>
    <row r="103" spans="1:19" s="31" customFormat="1">
      <c r="A103" s="77"/>
      <c r="E103" s="68"/>
      <c r="F103" s="68"/>
      <c r="G103" s="68"/>
      <c r="H103" s="68"/>
      <c r="M103" s="97"/>
      <c r="N103" s="97"/>
      <c r="O103" s="97"/>
      <c r="P103" s="97"/>
      <c r="Q103" s="97"/>
      <c r="R103" s="97"/>
      <c r="S103" s="97"/>
    </row>
    <row r="104" spans="1:19" s="31" customFormat="1">
      <c r="A104" s="77"/>
      <c r="E104" s="68"/>
      <c r="F104" s="68"/>
      <c r="G104" s="68"/>
      <c r="H104" s="68"/>
      <c r="M104" s="97"/>
      <c r="N104" s="97"/>
      <c r="O104" s="97"/>
      <c r="P104" s="97"/>
      <c r="Q104" s="97"/>
      <c r="R104" s="97"/>
      <c r="S104" s="97"/>
    </row>
    <row r="105" spans="1:19" s="31" customFormat="1">
      <c r="A105" s="77"/>
      <c r="E105" s="68"/>
      <c r="F105" s="68"/>
      <c r="G105" s="68"/>
      <c r="H105" s="68"/>
      <c r="M105" s="97"/>
      <c r="N105" s="97"/>
      <c r="O105" s="97"/>
      <c r="P105" s="97"/>
      <c r="Q105" s="97"/>
      <c r="R105" s="97"/>
      <c r="S105" s="97"/>
    </row>
    <row r="106" spans="1:19" s="31" customFormat="1">
      <c r="A106" s="77"/>
      <c r="E106" s="68"/>
      <c r="F106" s="68"/>
      <c r="G106" s="68"/>
      <c r="H106" s="68"/>
      <c r="M106" s="97"/>
      <c r="N106" s="97"/>
      <c r="O106" s="97"/>
      <c r="P106" s="97"/>
      <c r="Q106" s="97"/>
      <c r="R106" s="97"/>
      <c r="S106" s="97"/>
    </row>
    <row r="107" spans="1:19" s="31" customFormat="1">
      <c r="A107" s="77"/>
      <c r="E107" s="68"/>
      <c r="F107" s="68"/>
      <c r="G107" s="68"/>
      <c r="H107" s="68"/>
      <c r="M107" s="97"/>
      <c r="N107" s="97"/>
      <c r="O107" s="97"/>
      <c r="P107" s="97"/>
      <c r="Q107" s="97"/>
      <c r="R107" s="97"/>
      <c r="S107" s="97"/>
    </row>
    <row r="108" spans="1:19" s="31" customFormat="1">
      <c r="A108" s="77"/>
      <c r="E108" s="68"/>
      <c r="F108" s="68"/>
      <c r="G108" s="68"/>
      <c r="H108" s="68"/>
    </row>
    <row r="109" spans="1:19" s="31" customFormat="1">
      <c r="A109" s="77"/>
      <c r="E109" s="68"/>
      <c r="F109" s="68"/>
      <c r="G109" s="68"/>
      <c r="H109" s="68"/>
    </row>
    <row r="110" spans="1:19" s="31" customFormat="1">
      <c r="A110" s="77"/>
      <c r="E110" s="68"/>
      <c r="F110" s="68"/>
      <c r="G110" s="68"/>
      <c r="H110" s="68"/>
    </row>
    <row r="111" spans="1:19" s="31" customFormat="1">
      <c r="A111" s="77"/>
      <c r="E111" s="68"/>
      <c r="F111" s="68"/>
      <c r="G111" s="68"/>
      <c r="H111" s="68"/>
    </row>
    <row r="112" spans="1:19" s="31" customFormat="1">
      <c r="A112" s="77"/>
      <c r="E112" s="68"/>
      <c r="F112" s="68"/>
      <c r="G112" s="68"/>
      <c r="H112" s="68"/>
    </row>
    <row r="113" spans="1:8" s="31" customFormat="1">
      <c r="A113" s="77"/>
      <c r="E113" s="68"/>
      <c r="F113" s="68"/>
      <c r="G113" s="68"/>
      <c r="H113" s="68"/>
    </row>
    <row r="114" spans="1:8" s="31" customFormat="1">
      <c r="A114" s="77"/>
      <c r="E114" s="68"/>
      <c r="F114" s="68"/>
      <c r="G114" s="68"/>
      <c r="H114" s="68"/>
    </row>
    <row r="115" spans="1:8" s="31" customFormat="1">
      <c r="A115" s="77"/>
      <c r="E115" s="68"/>
      <c r="F115" s="68"/>
      <c r="G115" s="68"/>
      <c r="H115" s="68"/>
    </row>
    <row r="116" spans="1:8" s="31" customFormat="1">
      <c r="A116" s="77"/>
      <c r="E116" s="68"/>
      <c r="F116" s="68"/>
      <c r="G116" s="68"/>
      <c r="H116" s="68"/>
    </row>
    <row r="117" spans="1:8" s="31" customFormat="1">
      <c r="A117" s="77"/>
      <c r="E117" s="68"/>
      <c r="F117" s="68"/>
      <c r="G117" s="68"/>
      <c r="H117" s="68"/>
    </row>
    <row r="118" spans="1:8" s="31" customFormat="1">
      <c r="A118" s="77"/>
      <c r="E118" s="68"/>
      <c r="F118" s="68"/>
      <c r="G118" s="68"/>
      <c r="H118" s="68"/>
    </row>
    <row r="119" spans="1:8" s="31" customFormat="1">
      <c r="A119" s="77"/>
      <c r="E119" s="68"/>
      <c r="F119" s="68"/>
      <c r="G119" s="68"/>
      <c r="H119" s="68"/>
    </row>
    <row r="120" spans="1:8" s="31" customFormat="1">
      <c r="A120" s="77"/>
      <c r="E120" s="68"/>
      <c r="F120" s="68"/>
      <c r="G120" s="68"/>
      <c r="H120" s="68"/>
    </row>
    <row r="121" spans="1:8" s="31" customFormat="1">
      <c r="A121" s="77"/>
      <c r="E121" s="68"/>
      <c r="F121" s="68"/>
      <c r="G121" s="68"/>
      <c r="H121" s="68"/>
    </row>
    <row r="122" spans="1:8" s="31" customFormat="1">
      <c r="A122" s="77"/>
      <c r="E122" s="68"/>
      <c r="F122" s="68"/>
      <c r="G122" s="68"/>
      <c r="H122" s="68"/>
    </row>
    <row r="123" spans="1:8" s="31" customFormat="1">
      <c r="A123" s="77"/>
      <c r="E123" s="68"/>
      <c r="F123" s="68"/>
      <c r="G123" s="68"/>
      <c r="H123" s="68"/>
    </row>
    <row r="124" spans="1:8" s="31" customFormat="1">
      <c r="A124" s="77"/>
      <c r="E124" s="68"/>
      <c r="F124" s="68"/>
      <c r="G124" s="68"/>
      <c r="H124" s="68"/>
    </row>
    <row r="125" spans="1:8" s="31" customFormat="1">
      <c r="A125" s="77"/>
      <c r="E125" s="68"/>
      <c r="F125" s="68"/>
      <c r="G125" s="68"/>
      <c r="H125" s="68"/>
    </row>
    <row r="126" spans="1:8" s="31" customFormat="1">
      <c r="A126" s="77"/>
      <c r="E126" s="68"/>
      <c r="F126" s="68"/>
      <c r="G126" s="68"/>
      <c r="H126" s="68"/>
    </row>
    <row r="127" spans="1:8" s="31" customFormat="1">
      <c r="A127" s="77"/>
      <c r="E127" s="68"/>
      <c r="F127" s="68"/>
      <c r="G127" s="68"/>
      <c r="H127" s="68"/>
    </row>
    <row r="128" spans="1:8" s="31" customFormat="1">
      <c r="A128" s="77"/>
      <c r="E128" s="68"/>
      <c r="F128" s="68"/>
      <c r="G128" s="68"/>
      <c r="H128" s="68"/>
    </row>
    <row r="129" spans="1:8" s="31" customFormat="1">
      <c r="A129" s="77"/>
      <c r="E129" s="68"/>
      <c r="F129" s="68"/>
      <c r="G129" s="68"/>
      <c r="H129" s="68"/>
    </row>
    <row r="130" spans="1:8" s="31" customFormat="1">
      <c r="A130" s="77"/>
      <c r="E130" s="68"/>
      <c r="F130" s="68"/>
      <c r="G130" s="68"/>
      <c r="H130" s="68"/>
    </row>
    <row r="131" spans="1:8" s="31" customFormat="1">
      <c r="A131" s="77"/>
      <c r="E131" s="68"/>
      <c r="F131" s="68"/>
      <c r="G131" s="68"/>
      <c r="H131" s="68"/>
    </row>
    <row r="132" spans="1:8" s="31" customFormat="1">
      <c r="A132" s="77"/>
      <c r="E132" s="68"/>
      <c r="F132" s="68"/>
      <c r="G132" s="68"/>
      <c r="H132" s="68"/>
    </row>
    <row r="133" spans="1:8" s="31" customFormat="1">
      <c r="A133" s="77"/>
      <c r="E133" s="68"/>
      <c r="F133" s="68"/>
      <c r="G133" s="68"/>
      <c r="H133" s="68"/>
    </row>
    <row r="134" spans="1:8" s="31" customFormat="1">
      <c r="A134" s="77"/>
      <c r="E134" s="68"/>
      <c r="F134" s="68"/>
      <c r="G134" s="68"/>
      <c r="H134" s="68"/>
    </row>
    <row r="135" spans="1:8" s="31" customFormat="1">
      <c r="A135" s="77"/>
      <c r="E135" s="68"/>
      <c r="F135" s="68"/>
      <c r="G135" s="68"/>
      <c r="H135" s="68"/>
    </row>
    <row r="136" spans="1:8" s="31" customFormat="1">
      <c r="A136" s="77"/>
      <c r="E136" s="68"/>
      <c r="F136" s="68"/>
      <c r="G136" s="68"/>
      <c r="H136" s="68"/>
    </row>
    <row r="137" spans="1:8" s="31" customFormat="1">
      <c r="A137" s="77"/>
      <c r="E137" s="68"/>
      <c r="F137" s="68"/>
      <c r="G137" s="68"/>
      <c r="H137" s="68"/>
    </row>
    <row r="138" spans="1:8" s="31" customFormat="1">
      <c r="A138" s="77"/>
      <c r="E138" s="68"/>
      <c r="F138" s="68"/>
      <c r="G138" s="68"/>
      <c r="H138" s="68"/>
    </row>
    <row r="139" spans="1:8" s="31" customFormat="1">
      <c r="A139" s="77"/>
      <c r="E139" s="68"/>
      <c r="F139" s="68"/>
      <c r="G139" s="68"/>
      <c r="H139" s="68"/>
    </row>
    <row r="140" spans="1:8" s="31" customFormat="1">
      <c r="A140" s="77"/>
      <c r="E140" s="68"/>
      <c r="F140" s="68"/>
      <c r="G140" s="68"/>
      <c r="H140" s="68"/>
    </row>
    <row r="141" spans="1:8" s="31" customFormat="1">
      <c r="A141" s="77"/>
      <c r="E141" s="68"/>
      <c r="F141" s="68"/>
      <c r="G141" s="68"/>
      <c r="H141" s="68"/>
    </row>
    <row r="142" spans="1:8" s="31" customFormat="1">
      <c r="A142" s="77"/>
      <c r="E142" s="68"/>
      <c r="F142" s="68"/>
      <c r="G142" s="68"/>
      <c r="H142" s="68"/>
    </row>
    <row r="143" spans="1:8" s="31" customFormat="1">
      <c r="A143" s="77"/>
      <c r="E143" s="68"/>
      <c r="F143" s="68"/>
      <c r="G143" s="68"/>
      <c r="H143" s="68"/>
    </row>
    <row r="144" spans="1:8" s="31" customFormat="1">
      <c r="A144" s="77"/>
      <c r="E144" s="68"/>
      <c r="F144" s="68"/>
      <c r="G144" s="68"/>
      <c r="H144" s="68"/>
    </row>
    <row r="145" spans="1:8" s="31" customFormat="1">
      <c r="A145" s="77"/>
      <c r="E145" s="68"/>
      <c r="F145" s="68"/>
      <c r="G145" s="68"/>
      <c r="H145" s="68"/>
    </row>
    <row r="146" spans="1:8" s="31" customFormat="1">
      <c r="A146" s="77"/>
      <c r="E146" s="68"/>
      <c r="F146" s="68"/>
      <c r="G146" s="68"/>
      <c r="H146" s="68"/>
    </row>
    <row r="147" spans="1:8" s="31" customFormat="1">
      <c r="A147" s="77"/>
      <c r="E147" s="68"/>
      <c r="F147" s="68"/>
      <c r="G147" s="68"/>
      <c r="H147" s="68"/>
    </row>
    <row r="148" spans="1:8" s="31" customFormat="1">
      <c r="A148" s="77"/>
      <c r="E148" s="68"/>
      <c r="F148" s="68"/>
      <c r="G148" s="68"/>
      <c r="H148" s="68"/>
    </row>
    <row r="149" spans="1:8" s="31" customFormat="1">
      <c r="A149" s="77"/>
      <c r="E149" s="68"/>
      <c r="F149" s="68"/>
      <c r="G149" s="68"/>
      <c r="H149" s="68"/>
    </row>
    <row r="150" spans="1:8" s="31" customFormat="1">
      <c r="A150" s="77"/>
      <c r="E150" s="68"/>
      <c r="F150" s="68"/>
      <c r="G150" s="68"/>
      <c r="H150" s="68"/>
    </row>
    <row r="151" spans="1:8" s="31" customFormat="1">
      <c r="A151" s="77"/>
      <c r="E151" s="68"/>
      <c r="F151" s="68"/>
      <c r="G151" s="68"/>
      <c r="H151" s="68"/>
    </row>
    <row r="152" spans="1:8" s="31" customFormat="1">
      <c r="A152" s="77"/>
      <c r="E152" s="68"/>
      <c r="F152" s="68"/>
      <c r="G152" s="68"/>
      <c r="H152" s="68"/>
    </row>
    <row r="153" spans="1:8" s="31" customFormat="1">
      <c r="A153" s="77"/>
      <c r="E153" s="68"/>
      <c r="F153" s="68"/>
      <c r="G153" s="68"/>
      <c r="H153" s="68"/>
    </row>
    <row r="154" spans="1:8" s="31" customFormat="1">
      <c r="A154" s="77"/>
      <c r="E154" s="68"/>
      <c r="F154" s="68"/>
      <c r="G154" s="68"/>
      <c r="H154" s="68"/>
    </row>
    <row r="155" spans="1:8" s="31" customFormat="1">
      <c r="A155" s="77"/>
      <c r="E155" s="68"/>
      <c r="F155" s="68"/>
      <c r="G155" s="68"/>
      <c r="H155" s="68"/>
    </row>
    <row r="156" spans="1:8" s="31" customFormat="1">
      <c r="A156" s="77"/>
      <c r="E156" s="68"/>
      <c r="F156" s="68"/>
      <c r="G156" s="68"/>
      <c r="H156" s="68"/>
    </row>
    <row r="157" spans="1:8" s="31" customFormat="1">
      <c r="A157" s="77"/>
      <c r="E157" s="68"/>
      <c r="F157" s="68"/>
      <c r="G157" s="68"/>
      <c r="H157" s="68"/>
    </row>
    <row r="158" spans="1:8" s="31" customFormat="1">
      <c r="A158" s="77"/>
      <c r="E158" s="68"/>
      <c r="F158" s="68"/>
      <c r="G158" s="68"/>
      <c r="H158" s="68"/>
    </row>
    <row r="159" spans="1:8" s="31" customFormat="1">
      <c r="A159" s="77"/>
      <c r="E159" s="68"/>
      <c r="F159" s="68"/>
      <c r="G159" s="68"/>
      <c r="H159" s="68"/>
    </row>
    <row r="160" spans="1:8" s="31" customFormat="1">
      <c r="A160" s="77"/>
      <c r="E160" s="68"/>
      <c r="F160" s="68"/>
      <c r="G160" s="68"/>
      <c r="H160" s="68"/>
    </row>
    <row r="161" spans="1:8" s="31" customFormat="1">
      <c r="A161" s="77"/>
      <c r="E161" s="68"/>
      <c r="F161" s="68"/>
      <c r="G161" s="68"/>
      <c r="H161" s="68"/>
    </row>
    <row r="162" spans="1:8" s="31" customFormat="1">
      <c r="A162" s="77"/>
      <c r="E162" s="68"/>
      <c r="F162" s="68"/>
      <c r="G162" s="68"/>
      <c r="H162" s="68"/>
    </row>
    <row r="163" spans="1:8" s="31" customFormat="1">
      <c r="A163" s="77"/>
      <c r="E163" s="68"/>
      <c r="F163" s="68"/>
      <c r="G163" s="68"/>
      <c r="H163" s="68"/>
    </row>
    <row r="164" spans="1:8" s="31" customFormat="1">
      <c r="A164" s="77"/>
      <c r="E164" s="68"/>
      <c r="F164" s="68"/>
      <c r="G164" s="68"/>
      <c r="H164" s="68"/>
    </row>
    <row r="165" spans="1:8" s="31" customFormat="1">
      <c r="A165" s="77"/>
      <c r="E165" s="68"/>
      <c r="F165" s="68"/>
      <c r="G165" s="68"/>
      <c r="H165" s="68"/>
    </row>
    <row r="166" spans="1:8" s="31" customFormat="1">
      <c r="A166" s="77"/>
      <c r="E166" s="68"/>
      <c r="F166" s="68"/>
      <c r="G166" s="68"/>
      <c r="H166" s="68"/>
    </row>
    <row r="167" spans="1:8" s="31" customFormat="1">
      <c r="A167" s="77"/>
      <c r="E167" s="68"/>
      <c r="F167" s="68"/>
      <c r="G167" s="68"/>
      <c r="H167" s="68"/>
    </row>
    <row r="168" spans="1:8" s="31" customFormat="1">
      <c r="A168" s="77"/>
      <c r="E168" s="68"/>
      <c r="F168" s="68"/>
      <c r="G168" s="68"/>
      <c r="H168" s="68"/>
    </row>
    <row r="169" spans="1:8" s="31" customFormat="1">
      <c r="A169" s="77"/>
      <c r="E169" s="68"/>
      <c r="F169" s="68"/>
      <c r="G169" s="68"/>
      <c r="H169" s="68"/>
    </row>
    <row r="170" spans="1:8" s="31" customFormat="1">
      <c r="A170" s="77"/>
      <c r="E170" s="68"/>
      <c r="F170" s="68"/>
      <c r="G170" s="68"/>
      <c r="H170" s="68"/>
    </row>
    <row r="171" spans="1:8" s="31" customFormat="1">
      <c r="A171" s="77"/>
      <c r="E171" s="68"/>
      <c r="F171" s="68"/>
      <c r="G171" s="68"/>
      <c r="H171" s="68"/>
    </row>
    <row r="172" spans="1:8" s="31" customFormat="1">
      <c r="A172" s="77"/>
      <c r="E172" s="68"/>
      <c r="F172" s="68"/>
      <c r="G172" s="68"/>
      <c r="H172" s="68"/>
    </row>
    <row r="173" spans="1:8" s="31" customFormat="1">
      <c r="A173" s="77"/>
      <c r="E173" s="68"/>
      <c r="F173" s="68"/>
      <c r="G173" s="68"/>
      <c r="H173" s="68"/>
    </row>
    <row r="174" spans="1:8" s="31" customFormat="1">
      <c r="A174" s="77"/>
      <c r="E174" s="68"/>
      <c r="F174" s="68"/>
      <c r="G174" s="68"/>
      <c r="H174" s="68"/>
    </row>
    <row r="175" spans="1:8" s="31" customFormat="1">
      <c r="A175" s="77"/>
      <c r="E175" s="68"/>
      <c r="F175" s="68"/>
      <c r="G175" s="68"/>
      <c r="H175" s="68"/>
    </row>
    <row r="176" spans="1:8" s="31" customFormat="1">
      <c r="A176" s="77"/>
      <c r="E176" s="68"/>
      <c r="F176" s="68"/>
      <c r="G176" s="68"/>
      <c r="H176" s="68"/>
    </row>
    <row r="177" spans="1:8" s="31" customFormat="1">
      <c r="A177" s="77"/>
      <c r="E177" s="68"/>
      <c r="F177" s="68"/>
      <c r="G177" s="68"/>
      <c r="H177" s="68"/>
    </row>
    <row r="178" spans="1:8" s="31" customFormat="1">
      <c r="A178" s="77"/>
      <c r="E178" s="68"/>
      <c r="F178" s="68"/>
      <c r="G178" s="68"/>
      <c r="H178" s="68"/>
    </row>
    <row r="179" spans="1:8" s="31" customFormat="1">
      <c r="A179" s="77"/>
      <c r="E179" s="68"/>
      <c r="F179" s="68"/>
      <c r="G179" s="68"/>
      <c r="H179" s="68"/>
    </row>
    <row r="180" spans="1:8" s="31" customFormat="1">
      <c r="A180" s="77"/>
      <c r="E180" s="68"/>
      <c r="F180" s="68"/>
      <c r="G180" s="68"/>
      <c r="H180" s="68"/>
    </row>
    <row r="181" spans="1:8" s="31" customFormat="1">
      <c r="A181" s="77"/>
      <c r="E181" s="68"/>
      <c r="F181" s="68"/>
      <c r="G181" s="68"/>
      <c r="H181" s="68"/>
    </row>
    <row r="182" spans="1:8" s="31" customFormat="1">
      <c r="A182" s="77"/>
      <c r="E182" s="68"/>
      <c r="F182" s="68"/>
      <c r="G182" s="68"/>
      <c r="H182" s="68"/>
    </row>
    <row r="183" spans="1:8" s="31" customFormat="1">
      <c r="A183" s="77"/>
      <c r="E183" s="68"/>
      <c r="F183" s="68"/>
      <c r="G183" s="68"/>
      <c r="H183" s="68"/>
    </row>
    <row r="184" spans="1:8" s="31" customFormat="1">
      <c r="A184" s="77"/>
      <c r="E184" s="68"/>
      <c r="F184" s="68"/>
      <c r="G184" s="68"/>
      <c r="H184" s="68"/>
    </row>
    <row r="185" spans="1:8" s="31" customFormat="1">
      <c r="A185" s="77"/>
      <c r="E185" s="68"/>
      <c r="F185" s="68"/>
      <c r="G185" s="68"/>
      <c r="H185" s="68"/>
    </row>
    <row r="186" spans="1:8" s="31" customFormat="1">
      <c r="A186" s="77"/>
      <c r="E186" s="68"/>
      <c r="F186" s="68"/>
      <c r="G186" s="68"/>
      <c r="H186" s="68"/>
    </row>
    <row r="187" spans="1:8" s="31" customFormat="1">
      <c r="A187" s="77"/>
      <c r="E187" s="68"/>
      <c r="F187" s="68"/>
      <c r="G187" s="68"/>
      <c r="H187" s="68"/>
    </row>
    <row r="188" spans="1:8" s="31" customFormat="1">
      <c r="A188" s="77"/>
      <c r="E188" s="68"/>
      <c r="F188" s="68"/>
      <c r="G188" s="68"/>
      <c r="H188" s="68"/>
    </row>
    <row r="189" spans="1:8" s="31" customFormat="1">
      <c r="A189" s="77"/>
      <c r="E189" s="68"/>
      <c r="F189" s="68"/>
      <c r="G189" s="68"/>
      <c r="H189" s="68"/>
    </row>
    <row r="190" spans="1:8" s="31" customFormat="1">
      <c r="A190" s="77"/>
      <c r="E190" s="68"/>
      <c r="F190" s="68"/>
      <c r="G190" s="68"/>
      <c r="H190" s="68"/>
    </row>
    <row r="191" spans="1:8" s="31" customFormat="1">
      <c r="A191" s="77"/>
      <c r="E191" s="68"/>
      <c r="F191" s="68"/>
      <c r="G191" s="68"/>
      <c r="H191" s="68"/>
    </row>
    <row r="192" spans="1:8" s="31" customFormat="1">
      <c r="A192" s="77"/>
      <c r="E192" s="68"/>
      <c r="F192" s="68"/>
      <c r="G192" s="68"/>
      <c r="H192" s="68"/>
    </row>
    <row r="193" spans="1:8" s="31" customFormat="1">
      <c r="A193" s="77"/>
      <c r="E193" s="68"/>
      <c r="F193" s="68"/>
      <c r="G193" s="68"/>
      <c r="H193" s="68"/>
    </row>
    <row r="194" spans="1:8" s="31" customFormat="1">
      <c r="A194" s="77"/>
      <c r="E194" s="68"/>
      <c r="F194" s="68"/>
      <c r="G194" s="68"/>
      <c r="H194" s="68"/>
    </row>
    <row r="195" spans="1:8" s="31" customFormat="1">
      <c r="A195" s="77"/>
      <c r="E195" s="68"/>
      <c r="F195" s="68"/>
      <c r="G195" s="68"/>
      <c r="H195" s="68"/>
    </row>
    <row r="196" spans="1:8" s="31" customFormat="1">
      <c r="A196" s="77"/>
      <c r="E196" s="68"/>
      <c r="F196" s="68"/>
      <c r="G196" s="68"/>
      <c r="H196" s="68"/>
    </row>
    <row r="197" spans="1:8" s="31" customFormat="1">
      <c r="A197" s="77"/>
      <c r="E197" s="68"/>
      <c r="F197" s="68"/>
      <c r="G197" s="68"/>
      <c r="H197" s="68"/>
    </row>
    <row r="198" spans="1:8" s="31" customFormat="1">
      <c r="A198" s="77"/>
      <c r="E198" s="68"/>
      <c r="F198" s="68"/>
      <c r="G198" s="68"/>
      <c r="H198" s="68"/>
    </row>
    <row r="199" spans="1:8" s="31" customFormat="1">
      <c r="A199" s="77"/>
      <c r="E199" s="68"/>
      <c r="F199" s="68"/>
      <c r="G199" s="68"/>
      <c r="H199" s="68"/>
    </row>
    <row r="200" spans="1:8" s="31" customFormat="1">
      <c r="A200" s="77"/>
      <c r="E200" s="68"/>
      <c r="F200" s="68"/>
      <c r="G200" s="68"/>
      <c r="H200" s="68"/>
    </row>
    <row r="201" spans="1:8" s="31" customFormat="1">
      <c r="A201" s="77"/>
      <c r="E201" s="68"/>
      <c r="F201" s="68"/>
      <c r="G201" s="68"/>
      <c r="H201" s="68"/>
    </row>
    <row r="202" spans="1:8" s="31" customFormat="1">
      <c r="A202" s="77"/>
      <c r="E202" s="68"/>
      <c r="F202" s="68"/>
      <c r="G202" s="68"/>
      <c r="H202" s="68"/>
    </row>
    <row r="203" spans="1:8" s="31" customFormat="1">
      <c r="A203" s="77"/>
      <c r="E203" s="68"/>
      <c r="F203" s="68"/>
      <c r="G203" s="68"/>
      <c r="H203" s="68"/>
    </row>
    <row r="204" spans="1:8" s="31" customFormat="1">
      <c r="A204" s="77"/>
      <c r="E204" s="68"/>
      <c r="F204" s="68"/>
      <c r="G204" s="68"/>
      <c r="H204" s="68"/>
    </row>
    <row r="205" spans="1:8" s="31" customFormat="1">
      <c r="A205" s="77"/>
      <c r="E205" s="68"/>
      <c r="F205" s="68"/>
      <c r="G205" s="68"/>
      <c r="H205" s="68"/>
    </row>
    <row r="206" spans="1:8" s="31" customFormat="1">
      <c r="A206" s="77"/>
      <c r="E206" s="68"/>
      <c r="F206" s="68"/>
      <c r="G206" s="68"/>
      <c r="H206" s="68"/>
    </row>
    <row r="207" spans="1:8" s="31" customFormat="1">
      <c r="A207" s="77"/>
      <c r="E207" s="68"/>
      <c r="F207" s="68"/>
      <c r="G207" s="68"/>
      <c r="H207" s="68"/>
    </row>
    <row r="208" spans="1:8" s="31" customFormat="1">
      <c r="A208" s="77"/>
      <c r="E208" s="68"/>
      <c r="F208" s="68"/>
      <c r="G208" s="68"/>
      <c r="H208" s="68"/>
    </row>
    <row r="209" spans="1:8" s="31" customFormat="1">
      <c r="A209" s="77"/>
      <c r="E209" s="68"/>
      <c r="F209" s="68"/>
      <c r="G209" s="68"/>
      <c r="H209" s="68"/>
    </row>
    <row r="210" spans="1:8" s="31" customFormat="1">
      <c r="A210" s="77"/>
      <c r="E210" s="68"/>
      <c r="F210" s="68"/>
      <c r="G210" s="68"/>
      <c r="H210" s="68"/>
    </row>
    <row r="211" spans="1:8" s="31" customFormat="1">
      <c r="A211" s="77"/>
      <c r="E211" s="68"/>
      <c r="F211" s="68"/>
      <c r="G211" s="68"/>
      <c r="H211" s="68"/>
    </row>
    <row r="212" spans="1:8" s="31" customFormat="1">
      <c r="A212" s="77"/>
      <c r="E212" s="68"/>
      <c r="F212" s="68"/>
      <c r="G212" s="68"/>
      <c r="H212" s="68"/>
    </row>
    <row r="213" spans="1:8" s="31" customFormat="1">
      <c r="A213" s="77"/>
      <c r="E213" s="68"/>
      <c r="F213" s="68"/>
      <c r="G213" s="68"/>
      <c r="H213" s="68"/>
    </row>
    <row r="214" spans="1:8" s="31" customFormat="1">
      <c r="A214" s="77"/>
      <c r="E214" s="68"/>
      <c r="F214" s="68"/>
      <c r="G214" s="68"/>
      <c r="H214" s="68"/>
    </row>
    <row r="215" spans="1:8" s="31" customFormat="1">
      <c r="A215" s="77"/>
      <c r="E215" s="68"/>
      <c r="F215" s="68"/>
      <c r="G215" s="68"/>
      <c r="H215" s="68"/>
    </row>
    <row r="216" spans="1:8" s="31" customFormat="1">
      <c r="A216" s="77"/>
      <c r="E216" s="68"/>
      <c r="F216" s="68"/>
      <c r="G216" s="68"/>
      <c r="H216" s="68"/>
    </row>
    <row r="217" spans="1:8" s="31" customFormat="1">
      <c r="A217" s="77"/>
      <c r="E217" s="68"/>
      <c r="F217" s="68"/>
      <c r="G217" s="68"/>
      <c r="H217" s="68"/>
    </row>
    <row r="218" spans="1:8" s="31" customFormat="1">
      <c r="A218" s="77"/>
      <c r="E218" s="68"/>
      <c r="F218" s="68"/>
      <c r="G218" s="68"/>
      <c r="H218" s="68"/>
    </row>
    <row r="219" spans="1:8" s="31" customFormat="1">
      <c r="A219" s="77"/>
      <c r="E219" s="68"/>
      <c r="F219" s="68"/>
      <c r="G219" s="68"/>
      <c r="H219" s="68"/>
    </row>
    <row r="220" spans="1:8" s="31" customFormat="1">
      <c r="A220" s="77"/>
      <c r="E220" s="68"/>
      <c r="F220" s="68"/>
      <c r="G220" s="68"/>
      <c r="H220" s="68"/>
    </row>
    <row r="221" spans="1:8" s="31" customFormat="1">
      <c r="A221" s="77"/>
      <c r="E221" s="68"/>
      <c r="F221" s="68"/>
      <c r="G221" s="68"/>
      <c r="H221" s="68"/>
    </row>
    <row r="222" spans="1:8" s="31" customFormat="1">
      <c r="A222" s="77"/>
      <c r="E222" s="68"/>
      <c r="F222" s="68"/>
      <c r="G222" s="68"/>
      <c r="H222" s="68"/>
    </row>
    <row r="223" spans="1:8" s="31" customFormat="1">
      <c r="A223" s="77"/>
      <c r="E223" s="68"/>
      <c r="F223" s="68"/>
      <c r="G223" s="68"/>
      <c r="H223" s="68"/>
    </row>
    <row r="224" spans="1:8" s="31" customFormat="1">
      <c r="A224" s="77"/>
      <c r="E224" s="68"/>
      <c r="F224" s="68"/>
      <c r="G224" s="68"/>
      <c r="H224" s="68"/>
    </row>
    <row r="225" spans="1:8" s="31" customFormat="1">
      <c r="A225" s="77"/>
      <c r="E225" s="68"/>
      <c r="F225" s="68"/>
      <c r="G225" s="68"/>
      <c r="H225" s="68"/>
    </row>
    <row r="226" spans="1:8" s="31" customFormat="1">
      <c r="A226" s="77"/>
      <c r="E226" s="68"/>
      <c r="F226" s="68"/>
      <c r="G226" s="68"/>
      <c r="H226" s="68"/>
    </row>
    <row r="227" spans="1:8" s="31" customFormat="1">
      <c r="A227" s="77"/>
      <c r="E227" s="68"/>
      <c r="F227" s="68"/>
      <c r="G227" s="68"/>
      <c r="H227" s="68"/>
    </row>
    <row r="228" spans="1:8" s="31" customFormat="1">
      <c r="A228" s="77"/>
      <c r="E228" s="68"/>
      <c r="F228" s="68"/>
      <c r="G228" s="68"/>
      <c r="H228" s="68"/>
    </row>
    <row r="229" spans="1:8" s="31" customFormat="1">
      <c r="A229" s="77"/>
      <c r="E229" s="68"/>
      <c r="F229" s="68"/>
      <c r="G229" s="68"/>
      <c r="H229" s="68"/>
    </row>
    <row r="230" spans="1:8" s="31" customFormat="1">
      <c r="A230" s="77"/>
      <c r="E230" s="68"/>
      <c r="F230" s="68"/>
      <c r="G230" s="68"/>
      <c r="H230" s="68"/>
    </row>
    <row r="231" spans="1:8" s="31" customFormat="1">
      <c r="A231" s="77"/>
      <c r="E231" s="68"/>
      <c r="F231" s="68"/>
      <c r="G231" s="68"/>
      <c r="H231" s="68"/>
    </row>
    <row r="232" spans="1:8" s="31" customFormat="1">
      <c r="A232" s="77"/>
      <c r="E232" s="68"/>
      <c r="F232" s="68"/>
      <c r="G232" s="68"/>
      <c r="H232" s="68"/>
    </row>
    <row r="233" spans="1:8" s="31" customFormat="1">
      <c r="A233" s="77"/>
      <c r="E233" s="68"/>
      <c r="F233" s="68"/>
      <c r="G233" s="68"/>
      <c r="H233" s="68"/>
    </row>
    <row r="234" spans="1:8" s="31" customFormat="1">
      <c r="A234" s="77"/>
      <c r="E234" s="68"/>
      <c r="F234" s="68"/>
      <c r="G234" s="68"/>
      <c r="H234" s="68"/>
    </row>
    <row r="235" spans="1:8" s="31" customFormat="1">
      <c r="A235" s="77"/>
      <c r="E235" s="68"/>
      <c r="F235" s="68"/>
      <c r="G235" s="68"/>
      <c r="H235" s="68"/>
    </row>
    <row r="236" spans="1:8" s="31" customFormat="1">
      <c r="A236" s="77"/>
      <c r="E236" s="68"/>
      <c r="F236" s="68"/>
      <c r="G236" s="68"/>
      <c r="H236" s="68"/>
    </row>
    <row r="237" spans="1:8" s="31" customFormat="1">
      <c r="A237" s="77"/>
      <c r="E237" s="68"/>
      <c r="F237" s="68"/>
      <c r="G237" s="68"/>
      <c r="H237" s="68"/>
    </row>
    <row r="238" spans="1:8" s="31" customFormat="1">
      <c r="A238" s="77"/>
      <c r="E238" s="68"/>
      <c r="F238" s="68"/>
      <c r="G238" s="68"/>
      <c r="H238" s="68"/>
    </row>
    <row r="239" spans="1:8" s="31" customFormat="1">
      <c r="A239" s="77"/>
      <c r="E239" s="68"/>
      <c r="F239" s="68"/>
      <c r="G239" s="68"/>
      <c r="H239" s="68"/>
    </row>
    <row r="240" spans="1:8" s="31" customFormat="1">
      <c r="A240" s="77"/>
      <c r="E240" s="68"/>
      <c r="F240" s="68"/>
      <c r="G240" s="68"/>
      <c r="H240" s="68"/>
    </row>
    <row r="241" spans="1:8" s="31" customFormat="1">
      <c r="A241" s="77"/>
      <c r="E241" s="68"/>
      <c r="F241" s="68"/>
      <c r="G241" s="68"/>
      <c r="H241" s="68"/>
    </row>
    <row r="242" spans="1:8" s="31" customFormat="1">
      <c r="A242" s="77"/>
      <c r="E242" s="68"/>
      <c r="F242" s="68"/>
      <c r="G242" s="68"/>
      <c r="H242" s="68"/>
    </row>
    <row r="243" spans="1:8" s="31" customFormat="1">
      <c r="A243" s="77"/>
      <c r="E243" s="68"/>
      <c r="F243" s="68"/>
      <c r="G243" s="68"/>
      <c r="H243" s="68"/>
    </row>
    <row r="244" spans="1:8" s="31" customFormat="1">
      <c r="A244" s="77"/>
      <c r="E244" s="68"/>
      <c r="F244" s="68"/>
      <c r="G244" s="68"/>
      <c r="H244" s="68"/>
    </row>
    <row r="245" spans="1:8" s="31" customFormat="1">
      <c r="A245" s="77"/>
      <c r="E245" s="68"/>
      <c r="F245" s="68"/>
      <c r="G245" s="68"/>
      <c r="H245" s="68"/>
    </row>
    <row r="246" spans="1:8" s="31" customFormat="1">
      <c r="A246" s="77"/>
      <c r="E246" s="68"/>
      <c r="F246" s="68"/>
      <c r="G246" s="68"/>
      <c r="H246" s="68"/>
    </row>
    <row r="247" spans="1:8" s="31" customFormat="1">
      <c r="A247" s="77"/>
      <c r="E247" s="68"/>
      <c r="F247" s="68"/>
      <c r="G247" s="68"/>
      <c r="H247" s="68"/>
    </row>
    <row r="248" spans="1:8" s="31" customFormat="1">
      <c r="A248" s="77"/>
      <c r="E248" s="68"/>
      <c r="F248" s="68"/>
      <c r="G248" s="68"/>
      <c r="H248" s="68"/>
    </row>
    <row r="249" spans="1:8" s="31" customFormat="1">
      <c r="A249" s="77"/>
      <c r="E249" s="68"/>
      <c r="F249" s="68"/>
      <c r="G249" s="68"/>
      <c r="H249" s="68"/>
    </row>
    <row r="250" spans="1:8" s="31" customFormat="1">
      <c r="A250" s="77"/>
      <c r="E250" s="68"/>
      <c r="F250" s="68"/>
      <c r="G250" s="68"/>
      <c r="H250" s="68"/>
    </row>
    <row r="251" spans="1:8" s="31" customFormat="1">
      <c r="A251" s="77"/>
      <c r="E251" s="68"/>
      <c r="F251" s="68"/>
      <c r="G251" s="68"/>
      <c r="H251" s="68"/>
    </row>
  </sheetData>
  <mergeCells count="17">
    <mergeCell ref="A44:H44"/>
    <mergeCell ref="A2:H2"/>
    <mergeCell ref="A1:H1"/>
    <mergeCell ref="A4:A5"/>
    <mergeCell ref="B4:B5"/>
    <mergeCell ref="A7:H7"/>
    <mergeCell ref="E4:H4"/>
    <mergeCell ref="C4:D4"/>
    <mergeCell ref="C100:D100"/>
    <mergeCell ref="G100:H100"/>
    <mergeCell ref="C99:D99"/>
    <mergeCell ref="A78:H78"/>
    <mergeCell ref="A51:H51"/>
    <mergeCell ref="A69:H69"/>
    <mergeCell ref="C79:D79"/>
    <mergeCell ref="E79:H79"/>
    <mergeCell ref="G99:H99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  <rowBreaks count="1" manualBreakCount="1">
    <brk id="81" max="7" man="1"/>
  </rowBreaks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M324"/>
  <sheetViews>
    <sheetView view="pageBreakPreview" topLeftCell="A10" zoomScale="60" zoomScaleNormal="100" workbookViewId="0">
      <selection activeCell="B16" sqref="B16"/>
    </sheetView>
  </sheetViews>
  <sheetFormatPr defaultRowHeight="18.75"/>
  <cols>
    <col min="1" max="1" width="9.140625" style="15"/>
    <col min="2" max="2" width="58" style="15" customWidth="1"/>
    <col min="3" max="3" width="13.42578125" style="24" customWidth="1"/>
    <col min="4" max="4" width="18.28515625" style="24" customWidth="1"/>
    <col min="5" max="5" width="18.5703125" style="24" customWidth="1"/>
    <col min="6" max="6" width="17.85546875" style="24" customWidth="1"/>
    <col min="7" max="7" width="18.28515625" style="15" customWidth="1"/>
    <col min="8" max="8" width="19.28515625" style="15" customWidth="1"/>
    <col min="9" max="9" width="9.140625" style="15"/>
    <col min="10" max="10" width="18" style="15" customWidth="1"/>
    <col min="11" max="11" width="14" style="15" customWidth="1"/>
    <col min="12" max="12" width="9.140625" style="15" customWidth="1"/>
    <col min="13" max="13" width="10.5703125" style="15" bestFit="1" customWidth="1"/>
    <col min="14" max="18" width="9.140625" style="15"/>
    <col min="19" max="19" width="11.5703125" style="15" bestFit="1" customWidth="1"/>
    <col min="20" max="20" width="9.140625" style="15"/>
    <col min="21" max="21" width="11.5703125" style="15" bestFit="1" customWidth="1"/>
    <col min="22" max="16384" width="9.140625" style="15"/>
  </cols>
  <sheetData>
    <row r="2" spans="1:10" ht="20.25">
      <c r="B2" s="278" t="s">
        <v>103</v>
      </c>
      <c r="C2" s="278"/>
      <c r="D2" s="278"/>
      <c r="E2" s="278"/>
      <c r="F2" s="278"/>
    </row>
    <row r="3" spans="1:10">
      <c r="B3" s="16"/>
      <c r="C3" s="17"/>
      <c r="D3" s="16"/>
      <c r="E3" s="16"/>
      <c r="F3" s="16"/>
      <c r="H3" s="15" t="s">
        <v>65</v>
      </c>
    </row>
    <row r="4" spans="1:10" ht="92.25" customHeight="1">
      <c r="A4" s="18" t="s">
        <v>76</v>
      </c>
      <c r="B4" s="18" t="s">
        <v>23</v>
      </c>
      <c r="C4" s="104" t="s">
        <v>5</v>
      </c>
      <c r="D4" s="104" t="s">
        <v>274</v>
      </c>
      <c r="E4" s="104" t="s">
        <v>279</v>
      </c>
      <c r="F4" s="104" t="s">
        <v>276</v>
      </c>
      <c r="G4" s="104" t="s">
        <v>112</v>
      </c>
      <c r="H4" s="104" t="s">
        <v>114</v>
      </c>
    </row>
    <row r="5" spans="1:10" ht="30.75" customHeight="1">
      <c r="A5" s="18">
        <v>1</v>
      </c>
      <c r="B5" s="18">
        <v>2</v>
      </c>
      <c r="C5" s="104">
        <v>3</v>
      </c>
      <c r="D5" s="104">
        <v>4</v>
      </c>
      <c r="E5" s="104">
        <v>5</v>
      </c>
      <c r="F5" s="104">
        <v>6</v>
      </c>
      <c r="G5" s="18">
        <v>7</v>
      </c>
      <c r="H5" s="18">
        <v>8</v>
      </c>
    </row>
    <row r="6" spans="1:10" ht="30.75" customHeight="1">
      <c r="A6" s="281" t="s">
        <v>75</v>
      </c>
      <c r="B6" s="281"/>
      <c r="C6" s="104"/>
      <c r="D6" s="105">
        <f>D7+D13+D20+D22</f>
        <v>26686.499999999996</v>
      </c>
      <c r="E6" s="105">
        <f>E7+E13+E20+E22</f>
        <v>35820.400000000001</v>
      </c>
      <c r="F6" s="105">
        <f>F7+F13+F20+F22</f>
        <v>28468.600000000002</v>
      </c>
      <c r="G6" s="18">
        <f t="shared" ref="G6:G8" si="0">F6-E6</f>
        <v>-7351.7999999999993</v>
      </c>
      <c r="H6" s="106">
        <f t="shared" ref="H6:H8" si="1">(F6/E6)*100</f>
        <v>79.475941083851666</v>
      </c>
    </row>
    <row r="7" spans="1:10" ht="62.25" customHeight="1">
      <c r="A7" s="275" t="s">
        <v>74</v>
      </c>
      <c r="B7" s="275"/>
      <c r="C7" s="107">
        <v>1000</v>
      </c>
      <c r="D7" s="108">
        <f>SUM(D8:D12)</f>
        <v>21058.5</v>
      </c>
      <c r="E7" s="108">
        <f>SUM(E8:E12)</f>
        <v>31341.4</v>
      </c>
      <c r="F7" s="108">
        <f>SUM(F8:F12)</f>
        <v>21652.2</v>
      </c>
      <c r="G7" s="109">
        <f t="shared" si="0"/>
        <v>-9689.2000000000007</v>
      </c>
      <c r="H7" s="109">
        <f t="shared" si="1"/>
        <v>69.084980249765479</v>
      </c>
      <c r="J7" s="15">
        <v>21652.2</v>
      </c>
    </row>
    <row r="8" spans="1:10" ht="45" customHeight="1">
      <c r="A8" s="110">
        <v>1</v>
      </c>
      <c r="B8" s="111" t="s">
        <v>209</v>
      </c>
      <c r="C8" s="107"/>
      <c r="D8" s="112">
        <v>20696.7</v>
      </c>
      <c r="E8" s="112">
        <v>30560</v>
      </c>
      <c r="F8" s="112">
        <v>21255</v>
      </c>
      <c r="G8" s="109">
        <f t="shared" si="0"/>
        <v>-9305</v>
      </c>
      <c r="H8" s="109">
        <f t="shared" si="1"/>
        <v>69.551701570680621</v>
      </c>
    </row>
    <row r="9" spans="1:10" ht="30" customHeight="1">
      <c r="A9" s="110">
        <v>2</v>
      </c>
      <c r="B9" s="111" t="s">
        <v>361</v>
      </c>
      <c r="C9" s="107"/>
      <c r="D9" s="112"/>
      <c r="E9" s="112">
        <v>781.4</v>
      </c>
      <c r="F9" s="112">
        <v>397.2</v>
      </c>
      <c r="G9" s="109">
        <f t="shared" ref="G9:G27" si="2">F9-E9</f>
        <v>-384.2</v>
      </c>
      <c r="H9" s="109">
        <f t="shared" ref="H9:H27" si="3">(F9/E9)*100</f>
        <v>50.831840286664963</v>
      </c>
    </row>
    <row r="10" spans="1:10" ht="47.25" customHeight="1">
      <c r="A10" s="110">
        <v>3</v>
      </c>
      <c r="B10" s="111" t="s">
        <v>254</v>
      </c>
      <c r="C10" s="107"/>
      <c r="D10" s="112">
        <v>211.5</v>
      </c>
      <c r="E10" s="112"/>
      <c r="F10" s="112"/>
      <c r="G10" s="109">
        <f t="shared" si="2"/>
        <v>0</v>
      </c>
      <c r="H10" s="179" t="e">
        <f t="shared" si="3"/>
        <v>#DIV/0!</v>
      </c>
    </row>
    <row r="11" spans="1:10" ht="30" customHeight="1">
      <c r="A11" s="110">
        <v>4</v>
      </c>
      <c r="B11" s="111" t="s">
        <v>210</v>
      </c>
      <c r="C11" s="107"/>
      <c r="D11" s="112">
        <v>50.1</v>
      </c>
      <c r="E11" s="112"/>
      <c r="F11" s="112"/>
      <c r="G11" s="109">
        <f t="shared" si="2"/>
        <v>0</v>
      </c>
      <c r="H11" s="179" t="e">
        <f t="shared" si="3"/>
        <v>#DIV/0!</v>
      </c>
    </row>
    <row r="12" spans="1:10" ht="78.75" customHeight="1">
      <c r="A12" s="110">
        <v>5</v>
      </c>
      <c r="B12" s="111" t="s">
        <v>211</v>
      </c>
      <c r="C12" s="104"/>
      <c r="D12" s="112">
        <v>100.2</v>
      </c>
      <c r="E12" s="112"/>
      <c r="F12" s="112"/>
      <c r="G12" s="109">
        <f t="shared" si="2"/>
        <v>0</v>
      </c>
      <c r="H12" s="179" t="e">
        <f t="shared" si="3"/>
        <v>#DIV/0!</v>
      </c>
    </row>
    <row r="13" spans="1:10" ht="30.75" customHeight="1">
      <c r="A13" s="274" t="s">
        <v>35</v>
      </c>
      <c r="B13" s="274"/>
      <c r="C13" s="107">
        <v>1040</v>
      </c>
      <c r="D13" s="108">
        <f>SUM(D14:D19)</f>
        <v>4830.7999999999993</v>
      </c>
      <c r="E13" s="108">
        <f>SUM(E14:E19)</f>
        <v>3727.5</v>
      </c>
      <c r="F13" s="108">
        <f>SUM(F14:F19)</f>
        <v>5759</v>
      </c>
      <c r="G13" s="113">
        <f t="shared" si="2"/>
        <v>2031.5</v>
      </c>
      <c r="H13" s="113">
        <f t="shared" si="3"/>
        <v>154.50033534540577</v>
      </c>
      <c r="J13" s="177">
        <v>5759</v>
      </c>
    </row>
    <row r="14" spans="1:10" ht="39.75" customHeight="1">
      <c r="A14" s="110">
        <v>1</v>
      </c>
      <c r="B14" s="111" t="s">
        <v>272</v>
      </c>
      <c r="C14" s="107"/>
      <c r="D14" s="112">
        <v>3535</v>
      </c>
      <c r="E14" s="112">
        <v>3286.1</v>
      </c>
      <c r="F14" s="260">
        <v>3286.1</v>
      </c>
      <c r="G14" s="109">
        <f t="shared" si="2"/>
        <v>0</v>
      </c>
      <c r="H14" s="109">
        <f t="shared" si="3"/>
        <v>100</v>
      </c>
      <c r="J14" s="114"/>
    </row>
    <row r="15" spans="1:10" ht="52.5" customHeight="1">
      <c r="A15" s="110">
        <v>2</v>
      </c>
      <c r="B15" s="111" t="s">
        <v>273</v>
      </c>
      <c r="C15" s="107"/>
      <c r="D15" s="112">
        <v>635.29999999999995</v>
      </c>
      <c r="E15" s="112"/>
      <c r="F15" s="260">
        <v>838</v>
      </c>
      <c r="G15" s="109">
        <f t="shared" si="2"/>
        <v>838</v>
      </c>
      <c r="H15" s="179" t="e">
        <f t="shared" si="3"/>
        <v>#DIV/0!</v>
      </c>
      <c r="J15" s="114"/>
    </row>
    <row r="16" spans="1:10" ht="56.25" customHeight="1">
      <c r="A16" s="110">
        <v>3</v>
      </c>
      <c r="B16" s="115" t="s">
        <v>363</v>
      </c>
      <c r="C16" s="107"/>
      <c r="D16" s="112"/>
      <c r="E16" s="112">
        <v>441.4</v>
      </c>
      <c r="F16" s="112">
        <v>352.4</v>
      </c>
      <c r="G16" s="109">
        <f t="shared" si="2"/>
        <v>-89</v>
      </c>
      <c r="H16" s="109">
        <f t="shared" si="3"/>
        <v>79.836882646125957</v>
      </c>
      <c r="J16" s="114"/>
    </row>
    <row r="17" spans="1:10" ht="32.25" customHeight="1">
      <c r="A17" s="110">
        <v>4</v>
      </c>
      <c r="B17" s="111" t="s">
        <v>212</v>
      </c>
      <c r="C17" s="107"/>
      <c r="D17" s="112">
        <v>0.9</v>
      </c>
      <c r="E17" s="112"/>
      <c r="F17" s="112">
        <f>21.4+1.6+2.6</f>
        <v>25.6</v>
      </c>
      <c r="G17" s="109">
        <f t="shared" si="2"/>
        <v>25.6</v>
      </c>
      <c r="H17" s="179" t="e">
        <f t="shared" si="3"/>
        <v>#DIV/0!</v>
      </c>
    </row>
    <row r="18" spans="1:10" ht="33" customHeight="1">
      <c r="A18" s="110">
        <v>5</v>
      </c>
      <c r="B18" s="111" t="s">
        <v>213</v>
      </c>
      <c r="C18" s="107"/>
      <c r="D18" s="112">
        <v>288.39999999999998</v>
      </c>
      <c r="E18" s="112"/>
      <c r="F18" s="112">
        <f>172.5-2.6</f>
        <v>169.9</v>
      </c>
      <c r="G18" s="109">
        <f t="shared" si="2"/>
        <v>169.9</v>
      </c>
      <c r="H18" s="179" t="e">
        <f t="shared" si="3"/>
        <v>#DIV/0!</v>
      </c>
      <c r="J18" s="114"/>
    </row>
    <row r="19" spans="1:10" ht="30.75" customHeight="1">
      <c r="A19" s="110">
        <v>6</v>
      </c>
      <c r="B19" s="111" t="s">
        <v>214</v>
      </c>
      <c r="C19" s="107"/>
      <c r="D19" s="112">
        <v>371.2</v>
      </c>
      <c r="E19" s="112"/>
      <c r="F19" s="112">
        <f>1439.4-352.4</f>
        <v>1087</v>
      </c>
      <c r="G19" s="109">
        <f t="shared" si="2"/>
        <v>1087</v>
      </c>
      <c r="H19" s="179" t="e">
        <f t="shared" si="3"/>
        <v>#DIV/0!</v>
      </c>
      <c r="J19" s="114"/>
    </row>
    <row r="20" spans="1:10" ht="30.75" customHeight="1">
      <c r="A20" s="274" t="s">
        <v>77</v>
      </c>
      <c r="B20" s="274"/>
      <c r="C20" s="107">
        <v>1130</v>
      </c>
      <c r="D20" s="108">
        <f>D21</f>
        <v>8.6</v>
      </c>
      <c r="E20" s="108">
        <f>E21</f>
        <v>12.5</v>
      </c>
      <c r="F20" s="108">
        <f>F21</f>
        <v>4.2</v>
      </c>
      <c r="G20" s="113">
        <f t="shared" si="2"/>
        <v>-8.3000000000000007</v>
      </c>
      <c r="H20" s="113">
        <f t="shared" si="3"/>
        <v>33.6</v>
      </c>
    </row>
    <row r="21" spans="1:10" ht="45" customHeight="1">
      <c r="A21" s="110">
        <v>1</v>
      </c>
      <c r="B21" s="116" t="s">
        <v>216</v>
      </c>
      <c r="C21" s="104"/>
      <c r="D21" s="112">
        <v>8.6</v>
      </c>
      <c r="E21" s="112">
        <v>12.5</v>
      </c>
      <c r="F21" s="112">
        <v>4.2</v>
      </c>
      <c r="G21" s="109">
        <f t="shared" si="2"/>
        <v>-8.3000000000000007</v>
      </c>
      <c r="H21" s="109">
        <f t="shared" si="3"/>
        <v>33.6</v>
      </c>
    </row>
    <row r="22" spans="1:10" ht="30.75" customHeight="1">
      <c r="A22" s="274" t="s">
        <v>27</v>
      </c>
      <c r="B22" s="274"/>
      <c r="C22" s="107">
        <v>1150</v>
      </c>
      <c r="D22" s="108">
        <f>SUM(D23:D27)</f>
        <v>788.6</v>
      </c>
      <c r="E22" s="108">
        <f>SUM(E23:E27)</f>
        <v>739</v>
      </c>
      <c r="F22" s="108">
        <f>SUM(F23:F27)</f>
        <v>1053.2</v>
      </c>
      <c r="G22" s="113">
        <f t="shared" si="2"/>
        <v>314.20000000000005</v>
      </c>
      <c r="H22" s="113">
        <f t="shared" si="3"/>
        <v>142.51691474966171</v>
      </c>
      <c r="J22" s="114">
        <f>F22+F20</f>
        <v>1057.4000000000001</v>
      </c>
    </row>
    <row r="23" spans="1:10" ht="42" customHeight="1">
      <c r="A23" s="18">
        <v>1</v>
      </c>
      <c r="B23" s="111" t="s">
        <v>215</v>
      </c>
      <c r="C23" s="107"/>
      <c r="D23" s="112">
        <v>9.5</v>
      </c>
      <c r="E23" s="108"/>
      <c r="F23" s="112"/>
      <c r="G23" s="109">
        <f t="shared" si="2"/>
        <v>0</v>
      </c>
      <c r="H23" s="179" t="e">
        <f t="shared" si="3"/>
        <v>#DIV/0!</v>
      </c>
    </row>
    <row r="24" spans="1:10" ht="47.25" customHeight="1">
      <c r="A24" s="18">
        <v>2</v>
      </c>
      <c r="B24" s="111" t="s">
        <v>255</v>
      </c>
      <c r="C24" s="107"/>
      <c r="D24" s="112">
        <v>21.1</v>
      </c>
      <c r="E24" s="108"/>
      <c r="F24" s="112"/>
      <c r="G24" s="109">
        <f t="shared" si="2"/>
        <v>0</v>
      </c>
      <c r="H24" s="179" t="e">
        <f t="shared" si="3"/>
        <v>#DIV/0!</v>
      </c>
    </row>
    <row r="25" spans="1:10" ht="47.25" customHeight="1">
      <c r="A25" s="18">
        <v>3</v>
      </c>
      <c r="B25" s="111" t="s">
        <v>242</v>
      </c>
      <c r="C25" s="107"/>
      <c r="D25" s="112">
        <v>11.5</v>
      </c>
      <c r="E25" s="108"/>
      <c r="F25" s="112"/>
      <c r="G25" s="109">
        <f t="shared" si="2"/>
        <v>0</v>
      </c>
      <c r="H25" s="179" t="e">
        <f t="shared" si="3"/>
        <v>#DIV/0!</v>
      </c>
    </row>
    <row r="26" spans="1:10" ht="30.75" customHeight="1">
      <c r="A26" s="18">
        <v>4</v>
      </c>
      <c r="B26" s="111" t="s">
        <v>212</v>
      </c>
      <c r="C26" s="107"/>
      <c r="D26" s="112">
        <v>22.4</v>
      </c>
      <c r="E26" s="112">
        <v>24</v>
      </c>
      <c r="F26" s="112"/>
      <c r="G26" s="109">
        <f t="shared" si="2"/>
        <v>-24</v>
      </c>
      <c r="H26" s="109">
        <f t="shared" si="3"/>
        <v>0</v>
      </c>
    </row>
    <row r="27" spans="1:10" ht="36" customHeight="1">
      <c r="A27" s="18">
        <v>5</v>
      </c>
      <c r="B27" s="111" t="s">
        <v>238</v>
      </c>
      <c r="C27" s="107"/>
      <c r="D27" s="112">
        <v>724.1</v>
      </c>
      <c r="E27" s="112">
        <v>715</v>
      </c>
      <c r="F27" s="112">
        <v>1053.2</v>
      </c>
      <c r="G27" s="109">
        <f t="shared" si="2"/>
        <v>338.20000000000005</v>
      </c>
      <c r="H27" s="109">
        <f t="shared" si="3"/>
        <v>147.30069930069931</v>
      </c>
    </row>
    <row r="28" spans="1:10" ht="35.25" customHeight="1">
      <c r="A28" s="281" t="s">
        <v>78</v>
      </c>
      <c r="B28" s="281"/>
      <c r="C28" s="107"/>
      <c r="D28" s="108"/>
      <c r="E28" s="108"/>
      <c r="F28" s="108"/>
      <c r="G28" s="109"/>
      <c r="H28" s="109"/>
    </row>
    <row r="29" spans="1:10" ht="48" customHeight="1">
      <c r="A29" s="275" t="s">
        <v>79</v>
      </c>
      <c r="B29" s="275"/>
      <c r="C29" s="104"/>
      <c r="D29" s="108"/>
      <c r="E29" s="108"/>
      <c r="F29" s="108"/>
      <c r="G29" s="109"/>
      <c r="H29" s="109"/>
    </row>
    <row r="30" spans="1:10" ht="34.5" customHeight="1">
      <c r="A30" s="282" t="s">
        <v>80</v>
      </c>
      <c r="B30" s="282"/>
      <c r="C30" s="107">
        <v>1011</v>
      </c>
      <c r="D30" s="108">
        <f>SUM(D31:D42)</f>
        <v>3345.7</v>
      </c>
      <c r="E30" s="108">
        <f>SUM(E31:E42)</f>
        <v>3512.7</v>
      </c>
      <c r="F30" s="108">
        <f>SUM(F31:F42)</f>
        <v>5954.1999999999989</v>
      </c>
      <c r="G30" s="113">
        <f>F30-E30</f>
        <v>2441.4999999999991</v>
      </c>
      <c r="H30" s="113">
        <f>(F30/E30)*100</f>
        <v>169.50493922054258</v>
      </c>
      <c r="J30" s="114">
        <v>5954.2</v>
      </c>
    </row>
    <row r="31" spans="1:10" ht="42" customHeight="1">
      <c r="A31" s="107"/>
      <c r="B31" s="111" t="s">
        <v>194</v>
      </c>
      <c r="C31" s="107"/>
      <c r="D31" s="112">
        <v>819.5</v>
      </c>
      <c r="E31" s="118">
        <v>1217</v>
      </c>
      <c r="F31" s="112">
        <v>1223.2</v>
      </c>
      <c r="G31" s="109">
        <f t="shared" ref="G31:G40" si="4">F31-E31</f>
        <v>6.2000000000000455</v>
      </c>
      <c r="H31" s="109">
        <f t="shared" ref="H31:H40" si="5">(F31/E31)*100</f>
        <v>100.50944946589975</v>
      </c>
      <c r="J31" s="114"/>
    </row>
    <row r="32" spans="1:10" ht="55.5" customHeight="1">
      <c r="A32" s="107"/>
      <c r="B32" s="111" t="s">
        <v>193</v>
      </c>
      <c r="C32" s="107"/>
      <c r="D32" s="112">
        <v>0.5</v>
      </c>
      <c r="E32" s="118"/>
      <c r="F32" s="112">
        <v>512</v>
      </c>
      <c r="G32" s="109">
        <f t="shared" si="4"/>
        <v>512</v>
      </c>
      <c r="H32" s="179" t="e">
        <f t="shared" si="5"/>
        <v>#DIV/0!</v>
      </c>
      <c r="J32" s="114"/>
    </row>
    <row r="33" spans="1:11" ht="29.25" customHeight="1">
      <c r="A33" s="107"/>
      <c r="B33" s="111" t="s">
        <v>197</v>
      </c>
      <c r="C33" s="107"/>
      <c r="D33" s="112">
        <v>98.5</v>
      </c>
      <c r="E33" s="118"/>
      <c r="F33" s="112">
        <v>98.1</v>
      </c>
      <c r="G33" s="109">
        <f t="shared" si="4"/>
        <v>98.1</v>
      </c>
      <c r="H33" s="179" t="e">
        <f t="shared" si="5"/>
        <v>#DIV/0!</v>
      </c>
      <c r="J33" s="114"/>
    </row>
    <row r="34" spans="1:11" ht="29.25" customHeight="1">
      <c r="A34" s="117"/>
      <c r="B34" s="111" t="s">
        <v>370</v>
      </c>
      <c r="C34" s="117"/>
      <c r="D34" s="112"/>
      <c r="E34" s="118"/>
      <c r="F34" s="112">
        <v>109.8</v>
      </c>
      <c r="G34" s="109">
        <f t="shared" si="4"/>
        <v>109.8</v>
      </c>
      <c r="H34" s="179" t="e">
        <f t="shared" si="5"/>
        <v>#DIV/0!</v>
      </c>
      <c r="J34" s="114"/>
    </row>
    <row r="35" spans="1:11" ht="27.75" customHeight="1">
      <c r="A35" s="107"/>
      <c r="B35" s="111" t="s">
        <v>198</v>
      </c>
      <c r="C35" s="107"/>
      <c r="D35" s="112">
        <v>1</v>
      </c>
      <c r="E35" s="118"/>
      <c r="F35" s="112"/>
      <c r="G35" s="109">
        <f t="shared" si="4"/>
        <v>0</v>
      </c>
      <c r="H35" s="179" t="e">
        <f t="shared" si="5"/>
        <v>#DIV/0!</v>
      </c>
      <c r="J35" s="114"/>
    </row>
    <row r="36" spans="1:11" ht="34.5" customHeight="1">
      <c r="A36" s="107"/>
      <c r="B36" s="116" t="s">
        <v>217</v>
      </c>
      <c r="C36" s="107"/>
      <c r="D36" s="112">
        <v>1907.5</v>
      </c>
      <c r="E36" s="119">
        <v>1805</v>
      </c>
      <c r="F36" s="112">
        <f>3437.5-109.8</f>
        <v>3327.7</v>
      </c>
      <c r="G36" s="109">
        <f t="shared" si="4"/>
        <v>1522.6999999999998</v>
      </c>
      <c r="H36" s="109">
        <f t="shared" si="5"/>
        <v>184.36011080332409</v>
      </c>
    </row>
    <row r="37" spans="1:11" ht="42.75" customHeight="1">
      <c r="A37" s="107"/>
      <c r="B37" s="116" t="s">
        <v>195</v>
      </c>
      <c r="C37" s="107"/>
      <c r="D37" s="112">
        <v>269.10000000000002</v>
      </c>
      <c r="E37" s="119"/>
      <c r="F37" s="112"/>
      <c r="G37" s="109">
        <f t="shared" si="4"/>
        <v>0</v>
      </c>
      <c r="H37" s="179" t="e">
        <f t="shared" si="5"/>
        <v>#DIV/0!</v>
      </c>
    </row>
    <row r="38" spans="1:11" ht="29.25" customHeight="1">
      <c r="A38" s="107"/>
      <c r="B38" s="111" t="s">
        <v>140</v>
      </c>
      <c r="C38" s="107"/>
      <c r="D38" s="112">
        <v>152.4</v>
      </c>
      <c r="E38" s="119">
        <v>205</v>
      </c>
      <c r="F38" s="112">
        <v>253.3</v>
      </c>
      <c r="G38" s="109">
        <f t="shared" si="4"/>
        <v>48.300000000000011</v>
      </c>
      <c r="H38" s="109">
        <f t="shared" si="5"/>
        <v>123.5609756097561</v>
      </c>
    </row>
    <row r="39" spans="1:11" ht="30" customHeight="1">
      <c r="A39" s="107"/>
      <c r="B39" s="116" t="s">
        <v>141</v>
      </c>
      <c r="C39" s="107"/>
      <c r="D39" s="112">
        <v>1.9</v>
      </c>
      <c r="E39" s="119">
        <v>55</v>
      </c>
      <c r="F39" s="112"/>
      <c r="G39" s="109">
        <f t="shared" si="4"/>
        <v>-55</v>
      </c>
      <c r="H39" s="109">
        <f t="shared" si="5"/>
        <v>0</v>
      </c>
    </row>
    <row r="40" spans="1:11" ht="29.25" customHeight="1">
      <c r="A40" s="107"/>
      <c r="B40" s="116" t="s">
        <v>183</v>
      </c>
      <c r="C40" s="107"/>
      <c r="D40" s="112">
        <v>23.7</v>
      </c>
      <c r="E40" s="119">
        <v>96.2</v>
      </c>
      <c r="F40" s="112">
        <v>52.9</v>
      </c>
      <c r="G40" s="109">
        <f t="shared" si="4"/>
        <v>-43.300000000000004</v>
      </c>
      <c r="H40" s="109">
        <f t="shared" si="5"/>
        <v>54.989604989604992</v>
      </c>
    </row>
    <row r="41" spans="1:11" ht="66.75" customHeight="1">
      <c r="A41" s="120"/>
      <c r="B41" s="111" t="s">
        <v>218</v>
      </c>
      <c r="C41" s="104"/>
      <c r="D41" s="112">
        <v>52</v>
      </c>
      <c r="E41" s="119">
        <v>127.5</v>
      </c>
      <c r="F41" s="112">
        <v>351.4</v>
      </c>
      <c r="G41" s="109">
        <f>F41-E41</f>
        <v>223.89999999999998</v>
      </c>
      <c r="H41" s="109">
        <f>(F41/E41)*100</f>
        <v>275.60784313725486</v>
      </c>
    </row>
    <row r="42" spans="1:11" ht="43.5" customHeight="1">
      <c r="A42" s="120"/>
      <c r="B42" s="111" t="s">
        <v>165</v>
      </c>
      <c r="C42" s="104"/>
      <c r="D42" s="112">
        <v>19.600000000000001</v>
      </c>
      <c r="E42" s="119">
        <v>7</v>
      </c>
      <c r="F42" s="112">
        <v>25.8</v>
      </c>
      <c r="G42" s="109">
        <f>F42-E42</f>
        <v>18.8</v>
      </c>
      <c r="H42" s="109">
        <f>(F42/E42)*100</f>
        <v>368.57142857142861</v>
      </c>
    </row>
    <row r="43" spans="1:11" ht="35.25" customHeight="1">
      <c r="A43" s="282" t="s">
        <v>81</v>
      </c>
      <c r="B43" s="282"/>
      <c r="C43" s="107">
        <v>1015</v>
      </c>
      <c r="D43" s="108">
        <f>SUM(D44:D69)</f>
        <v>3059.8999999999996</v>
      </c>
      <c r="E43" s="258">
        <f>SUM(E44:E69)</f>
        <v>2512.1000000000004</v>
      </c>
      <c r="F43" s="108">
        <f>SUM(F44:F69)</f>
        <v>2199</v>
      </c>
      <c r="G43" s="113">
        <f>F43-E43</f>
        <v>-313.10000000000036</v>
      </c>
      <c r="H43" s="113">
        <f>(F43/E43)*100</f>
        <v>87.536324190915963</v>
      </c>
      <c r="K43" s="114"/>
    </row>
    <row r="44" spans="1:11" ht="31.5" customHeight="1">
      <c r="A44" s="107"/>
      <c r="B44" s="121" t="s">
        <v>147</v>
      </c>
      <c r="C44" s="107"/>
      <c r="D44" s="112">
        <v>3.4</v>
      </c>
      <c r="E44" s="112">
        <v>21.3</v>
      </c>
      <c r="F44" s="112"/>
      <c r="G44" s="109">
        <f t="shared" ref="G44:G50" si="6">F44-E44</f>
        <v>-21.3</v>
      </c>
      <c r="H44" s="109">
        <f t="shared" ref="H44:H50" si="7">(F44/E44)*100</f>
        <v>0</v>
      </c>
      <c r="K44" s="114"/>
    </row>
    <row r="45" spans="1:11" ht="30" customHeight="1">
      <c r="A45" s="107"/>
      <c r="B45" s="111" t="s">
        <v>148</v>
      </c>
      <c r="C45" s="107"/>
      <c r="D45" s="112">
        <v>41.9</v>
      </c>
      <c r="E45" s="112">
        <v>68.8</v>
      </c>
      <c r="F45" s="112">
        <v>46.8</v>
      </c>
      <c r="G45" s="109">
        <f t="shared" si="6"/>
        <v>-22</v>
      </c>
      <c r="H45" s="109">
        <f t="shared" si="7"/>
        <v>68.023255813953483</v>
      </c>
    </row>
    <row r="46" spans="1:11" ht="28.5" customHeight="1">
      <c r="A46" s="107"/>
      <c r="B46" s="111" t="s">
        <v>149</v>
      </c>
      <c r="C46" s="107"/>
      <c r="D46" s="108">
        <v>0</v>
      </c>
      <c r="E46" s="112"/>
      <c r="F46" s="112"/>
      <c r="G46" s="109">
        <f t="shared" si="6"/>
        <v>0</v>
      </c>
      <c r="H46" s="179" t="e">
        <f t="shared" si="7"/>
        <v>#DIV/0!</v>
      </c>
    </row>
    <row r="47" spans="1:11" ht="25.5" customHeight="1">
      <c r="A47" s="107"/>
      <c r="B47" s="111" t="s">
        <v>150</v>
      </c>
      <c r="C47" s="107"/>
      <c r="D47" s="112">
        <v>7.8</v>
      </c>
      <c r="E47" s="112">
        <v>19</v>
      </c>
      <c r="F47" s="112">
        <v>6.7</v>
      </c>
      <c r="G47" s="109">
        <f t="shared" si="6"/>
        <v>-12.3</v>
      </c>
      <c r="H47" s="109">
        <f t="shared" si="7"/>
        <v>35.263157894736842</v>
      </c>
    </row>
    <row r="48" spans="1:11" ht="27.75" customHeight="1">
      <c r="A48" s="107"/>
      <c r="B48" s="111" t="s">
        <v>151</v>
      </c>
      <c r="C48" s="107"/>
      <c r="D48" s="112">
        <v>7.4</v>
      </c>
      <c r="E48" s="112">
        <v>86</v>
      </c>
      <c r="F48" s="112">
        <v>36.6</v>
      </c>
      <c r="G48" s="109">
        <f t="shared" si="6"/>
        <v>-49.4</v>
      </c>
      <c r="H48" s="109">
        <f t="shared" si="7"/>
        <v>42.558139534883722</v>
      </c>
    </row>
    <row r="49" spans="1:11" ht="35.25" customHeight="1">
      <c r="A49" s="107"/>
      <c r="B49" s="111" t="s">
        <v>185</v>
      </c>
      <c r="C49" s="107"/>
      <c r="D49" s="112"/>
      <c r="E49" s="112">
        <v>30.5</v>
      </c>
      <c r="F49" s="112"/>
      <c r="G49" s="109">
        <f t="shared" si="6"/>
        <v>-30.5</v>
      </c>
      <c r="H49" s="109">
        <f t="shared" si="7"/>
        <v>0</v>
      </c>
    </row>
    <row r="50" spans="1:11" ht="35.25" customHeight="1">
      <c r="A50" s="107"/>
      <c r="B50" s="121" t="s">
        <v>152</v>
      </c>
      <c r="C50" s="107"/>
      <c r="D50" s="112">
        <v>80.3</v>
      </c>
      <c r="E50" s="112">
        <f>115.9-15.8</f>
        <v>100.10000000000001</v>
      </c>
      <c r="F50" s="112">
        <v>19.100000000000001</v>
      </c>
      <c r="G50" s="109">
        <f t="shared" si="6"/>
        <v>-81</v>
      </c>
      <c r="H50" s="109">
        <f t="shared" si="7"/>
        <v>19.080919080919081</v>
      </c>
    </row>
    <row r="51" spans="1:11" ht="28.5" customHeight="1">
      <c r="A51" s="122"/>
      <c r="B51" s="121" t="s">
        <v>153</v>
      </c>
      <c r="C51" s="104"/>
      <c r="D51" s="112">
        <v>2.1</v>
      </c>
      <c r="E51" s="112">
        <v>25</v>
      </c>
      <c r="F51" s="112"/>
      <c r="G51" s="109">
        <f>F51-E51</f>
        <v>-25</v>
      </c>
      <c r="H51" s="109">
        <f>(F51/E51)*100</f>
        <v>0</v>
      </c>
    </row>
    <row r="52" spans="1:11" ht="28.5" customHeight="1">
      <c r="A52" s="122"/>
      <c r="B52" s="121" t="s">
        <v>316</v>
      </c>
      <c r="C52" s="104"/>
      <c r="D52" s="112"/>
      <c r="E52" s="112">
        <v>6.3</v>
      </c>
      <c r="F52" s="112">
        <v>4.5</v>
      </c>
      <c r="G52" s="109">
        <f>F52-E52</f>
        <v>-1.7999999999999998</v>
      </c>
      <c r="H52" s="109">
        <f>(F52/E52)*100</f>
        <v>71.428571428571431</v>
      </c>
    </row>
    <row r="53" spans="1:11" ht="27" customHeight="1">
      <c r="A53" s="122"/>
      <c r="B53" s="121" t="s">
        <v>167</v>
      </c>
      <c r="C53" s="104"/>
      <c r="D53" s="112"/>
      <c r="E53" s="112">
        <v>0.8</v>
      </c>
      <c r="F53" s="112"/>
      <c r="G53" s="109">
        <f t="shared" ref="G53:G69" si="8">F53-E53</f>
        <v>-0.8</v>
      </c>
      <c r="H53" s="109">
        <f t="shared" ref="H53:H69" si="9">(F53/E53)*100</f>
        <v>0</v>
      </c>
    </row>
    <row r="54" spans="1:11" ht="28.5" customHeight="1">
      <c r="A54" s="122"/>
      <c r="B54" s="111" t="s">
        <v>219</v>
      </c>
      <c r="C54" s="104"/>
      <c r="D54" s="112">
        <v>14.6</v>
      </c>
      <c r="E54" s="112">
        <v>24.1</v>
      </c>
      <c r="F54" s="112">
        <v>24.8</v>
      </c>
      <c r="G54" s="109">
        <f t="shared" si="8"/>
        <v>0.69999999999999929</v>
      </c>
      <c r="H54" s="109">
        <f t="shared" si="9"/>
        <v>102.90456431535269</v>
      </c>
    </row>
    <row r="55" spans="1:11" ht="28.5" customHeight="1">
      <c r="A55" s="122"/>
      <c r="B55" s="111" t="s">
        <v>155</v>
      </c>
      <c r="C55" s="104"/>
      <c r="D55" s="112">
        <v>1.1000000000000001</v>
      </c>
      <c r="E55" s="112">
        <v>17.600000000000001</v>
      </c>
      <c r="F55" s="112">
        <v>1.8</v>
      </c>
      <c r="G55" s="109">
        <f t="shared" si="8"/>
        <v>-15.8</v>
      </c>
      <c r="H55" s="109">
        <f t="shared" si="9"/>
        <v>10.227272727272727</v>
      </c>
    </row>
    <row r="56" spans="1:11" ht="39" customHeight="1">
      <c r="A56" s="122"/>
      <c r="B56" s="121" t="s">
        <v>169</v>
      </c>
      <c r="C56" s="104"/>
      <c r="D56" s="112"/>
      <c r="E56" s="112">
        <v>37.5</v>
      </c>
      <c r="F56" s="112">
        <v>7.2</v>
      </c>
      <c r="G56" s="109">
        <f t="shared" si="8"/>
        <v>-30.3</v>
      </c>
      <c r="H56" s="109">
        <f t="shared" si="9"/>
        <v>19.2</v>
      </c>
    </row>
    <row r="57" spans="1:11" ht="45.75" customHeight="1">
      <c r="A57" s="122"/>
      <c r="B57" s="121" t="s">
        <v>171</v>
      </c>
      <c r="C57" s="104"/>
      <c r="D57" s="112">
        <v>7.6</v>
      </c>
      <c r="E57" s="112">
        <v>8.8000000000000007</v>
      </c>
      <c r="F57" s="112"/>
      <c r="G57" s="109">
        <f t="shared" si="8"/>
        <v>-8.8000000000000007</v>
      </c>
      <c r="H57" s="109">
        <f t="shared" si="9"/>
        <v>0</v>
      </c>
    </row>
    <row r="58" spans="1:11" ht="27.75" customHeight="1">
      <c r="A58" s="122"/>
      <c r="B58" s="123" t="s">
        <v>220</v>
      </c>
      <c r="C58" s="104"/>
      <c r="D58" s="112">
        <v>22.5</v>
      </c>
      <c r="E58" s="112">
        <v>71.3</v>
      </c>
      <c r="F58" s="112">
        <v>132.6</v>
      </c>
      <c r="G58" s="109">
        <f t="shared" si="8"/>
        <v>61.3</v>
      </c>
      <c r="H58" s="109">
        <f t="shared" si="9"/>
        <v>185.97475455820475</v>
      </c>
    </row>
    <row r="59" spans="1:11" ht="49.5" customHeight="1">
      <c r="A59" s="122"/>
      <c r="B59" s="111" t="s">
        <v>186</v>
      </c>
      <c r="C59" s="104"/>
      <c r="D59" s="112"/>
      <c r="E59" s="112">
        <v>2</v>
      </c>
      <c r="F59" s="112"/>
      <c r="G59" s="109">
        <f t="shared" si="8"/>
        <v>-2</v>
      </c>
      <c r="H59" s="109">
        <f t="shared" si="9"/>
        <v>0</v>
      </c>
    </row>
    <row r="60" spans="1:11" ht="30.75" customHeight="1">
      <c r="A60" s="122"/>
      <c r="B60" s="111" t="s">
        <v>247</v>
      </c>
      <c r="C60" s="104"/>
      <c r="D60" s="112"/>
      <c r="E60" s="259">
        <v>11</v>
      </c>
      <c r="F60" s="112">
        <v>17.2</v>
      </c>
      <c r="G60" s="109">
        <f t="shared" si="8"/>
        <v>6.1999999999999993</v>
      </c>
      <c r="H60" s="109">
        <f t="shared" si="9"/>
        <v>156.36363636363635</v>
      </c>
    </row>
    <row r="61" spans="1:11" ht="30.75" customHeight="1">
      <c r="A61" s="122"/>
      <c r="B61" s="121" t="s">
        <v>174</v>
      </c>
      <c r="C61" s="104"/>
      <c r="D61" s="112"/>
      <c r="E61" s="112"/>
      <c r="F61" s="112"/>
      <c r="G61" s="109">
        <f t="shared" si="8"/>
        <v>0</v>
      </c>
      <c r="H61" s="179" t="e">
        <f t="shared" si="9"/>
        <v>#DIV/0!</v>
      </c>
    </row>
    <row r="62" spans="1:11" ht="30" customHeight="1">
      <c r="A62" s="122"/>
      <c r="B62" s="121" t="s">
        <v>175</v>
      </c>
      <c r="C62" s="104"/>
      <c r="D62" s="112">
        <v>1999.6</v>
      </c>
      <c r="E62" s="112"/>
      <c r="F62" s="112">
        <v>1521.3</v>
      </c>
      <c r="G62" s="109">
        <f t="shared" si="8"/>
        <v>1521.3</v>
      </c>
      <c r="H62" s="179" t="e">
        <f t="shared" si="9"/>
        <v>#DIV/0!</v>
      </c>
    </row>
    <row r="63" spans="1:11" ht="31.5" customHeight="1">
      <c r="A63" s="122"/>
      <c r="B63" s="124" t="s">
        <v>176</v>
      </c>
      <c r="C63" s="104"/>
      <c r="D63" s="112">
        <v>66.7</v>
      </c>
      <c r="E63" s="259">
        <f>1912.9-410.9+103.3</f>
        <v>1605.3</v>
      </c>
      <c r="F63" s="112">
        <v>64.599999999999994</v>
      </c>
      <c r="G63" s="109">
        <f t="shared" si="8"/>
        <v>-1540.7</v>
      </c>
      <c r="H63" s="109">
        <f t="shared" si="9"/>
        <v>4.0241699370834114</v>
      </c>
      <c r="K63" s="28"/>
    </row>
    <row r="64" spans="1:11" ht="32.25" customHeight="1">
      <c r="A64" s="122"/>
      <c r="B64" s="124" t="s">
        <v>177</v>
      </c>
      <c r="C64" s="104"/>
      <c r="D64" s="112">
        <v>781.2</v>
      </c>
      <c r="E64" s="259">
        <f>86.6-24.1+4.4</f>
        <v>66.899999999999991</v>
      </c>
      <c r="F64" s="112">
        <v>250.4</v>
      </c>
      <c r="G64" s="109">
        <f t="shared" si="8"/>
        <v>183.5</v>
      </c>
      <c r="H64" s="109">
        <f t="shared" si="9"/>
        <v>374.28998505231698</v>
      </c>
      <c r="K64" s="28"/>
    </row>
    <row r="65" spans="1:13" ht="27.75" customHeight="1">
      <c r="A65" s="122"/>
      <c r="B65" s="124" t="s">
        <v>178</v>
      </c>
      <c r="C65" s="104"/>
      <c r="D65" s="112">
        <v>23.7</v>
      </c>
      <c r="E65" s="259">
        <f>842.4-611.4+33.3</f>
        <v>264.3</v>
      </c>
      <c r="F65" s="112">
        <v>48.5</v>
      </c>
      <c r="G65" s="109">
        <f t="shared" si="8"/>
        <v>-215.8</v>
      </c>
      <c r="H65" s="109">
        <f t="shared" si="9"/>
        <v>18.350359440030267</v>
      </c>
      <c r="K65" s="28"/>
    </row>
    <row r="66" spans="1:13" ht="30.75" customHeight="1">
      <c r="A66" s="122"/>
      <c r="B66" s="124" t="s">
        <v>246</v>
      </c>
      <c r="C66" s="104"/>
      <c r="D66" s="112"/>
      <c r="E66" s="259">
        <f>46-2.8+2.3</f>
        <v>45.5</v>
      </c>
      <c r="F66" s="112"/>
      <c r="G66" s="109">
        <f t="shared" si="8"/>
        <v>-45.5</v>
      </c>
      <c r="H66" s="109">
        <f t="shared" si="9"/>
        <v>0</v>
      </c>
      <c r="K66" s="28"/>
    </row>
    <row r="67" spans="1:13" ht="26.25" customHeight="1">
      <c r="A67" s="122"/>
      <c r="B67" s="124" t="s">
        <v>322</v>
      </c>
      <c r="C67" s="104"/>
      <c r="D67" s="112"/>
      <c r="E67" s="112"/>
      <c r="F67" s="112">
        <v>1.5</v>
      </c>
      <c r="G67" s="109">
        <f t="shared" si="8"/>
        <v>1.5</v>
      </c>
      <c r="H67" s="179" t="e">
        <f t="shared" si="9"/>
        <v>#DIV/0!</v>
      </c>
    </row>
    <row r="68" spans="1:13" ht="31.5" customHeight="1">
      <c r="A68" s="122"/>
      <c r="B68" s="124" t="s">
        <v>253</v>
      </c>
      <c r="C68" s="104"/>
      <c r="D68" s="112"/>
      <c r="E68" s="112"/>
      <c r="F68" s="112">
        <v>1.4</v>
      </c>
      <c r="G68" s="109">
        <f t="shared" si="8"/>
        <v>1.4</v>
      </c>
      <c r="H68" s="179" t="e">
        <f t="shared" si="9"/>
        <v>#DIV/0!</v>
      </c>
    </row>
    <row r="69" spans="1:13" ht="32.25" customHeight="1">
      <c r="A69" s="122"/>
      <c r="B69" s="111" t="s">
        <v>179</v>
      </c>
      <c r="C69" s="104"/>
      <c r="D69" s="112"/>
      <c r="E69" s="112"/>
      <c r="F69" s="112">
        <v>14</v>
      </c>
      <c r="G69" s="109">
        <f t="shared" si="8"/>
        <v>14</v>
      </c>
      <c r="H69" s="179" t="e">
        <f t="shared" si="9"/>
        <v>#DIV/0!</v>
      </c>
    </row>
    <row r="70" spans="1:13" s="21" customFormat="1" ht="39" customHeight="1">
      <c r="A70" s="275" t="s">
        <v>82</v>
      </c>
      <c r="B70" s="275"/>
      <c r="C70" s="125"/>
      <c r="D70" s="108"/>
      <c r="E70" s="108"/>
      <c r="F70" s="108"/>
      <c r="G70" s="109"/>
      <c r="H70" s="109"/>
    </row>
    <row r="71" spans="1:13" s="21" customFormat="1" ht="32.25" customHeight="1">
      <c r="A71" s="282" t="s">
        <v>80</v>
      </c>
      <c r="B71" s="282"/>
      <c r="C71" s="107">
        <v>1021</v>
      </c>
      <c r="D71" s="108">
        <f>SUM(D72:D73)</f>
        <v>14.200000000000001</v>
      </c>
      <c r="E71" s="108">
        <f>SUM(E72:E73)</f>
        <v>17.5</v>
      </c>
      <c r="F71" s="108">
        <f>SUM(F72:F73)</f>
        <v>7.2</v>
      </c>
      <c r="G71" s="109">
        <f>F71-E71</f>
        <v>-10.3</v>
      </c>
      <c r="H71" s="109">
        <f>(F71/E71)*100</f>
        <v>41.142857142857139</v>
      </c>
      <c r="J71" s="21">
        <v>7.2</v>
      </c>
    </row>
    <row r="72" spans="1:13" s="21" customFormat="1" ht="73.5" customHeight="1">
      <c r="A72" s="107"/>
      <c r="B72" s="111" t="s">
        <v>218</v>
      </c>
      <c r="C72" s="107"/>
      <c r="D72" s="112">
        <v>0.9</v>
      </c>
      <c r="E72" s="112">
        <v>10</v>
      </c>
      <c r="F72" s="112">
        <v>0.3</v>
      </c>
      <c r="G72" s="109">
        <f>F72-E72</f>
        <v>-9.6999999999999993</v>
      </c>
      <c r="H72" s="109">
        <f>(F72/E72)*100</f>
        <v>3</v>
      </c>
      <c r="K72" s="126"/>
    </row>
    <row r="73" spans="1:13" s="21" customFormat="1" ht="40.5" customHeight="1">
      <c r="A73" s="107"/>
      <c r="B73" s="111" t="s">
        <v>165</v>
      </c>
      <c r="C73" s="107"/>
      <c r="D73" s="112">
        <v>13.3</v>
      </c>
      <c r="E73" s="112">
        <v>7.5</v>
      </c>
      <c r="F73" s="112">
        <v>6.9</v>
      </c>
      <c r="G73" s="109">
        <f>F73-E73</f>
        <v>-0.59999999999999964</v>
      </c>
      <c r="H73" s="127">
        <f>(F73/E73)*100</f>
        <v>92</v>
      </c>
    </row>
    <row r="74" spans="1:13" s="21" customFormat="1" ht="31.5" customHeight="1">
      <c r="A74" s="282" t="s">
        <v>83</v>
      </c>
      <c r="B74" s="282"/>
      <c r="C74" s="125">
        <v>1025</v>
      </c>
      <c r="D74" s="108">
        <f>SUM(D75:D88)</f>
        <v>81.900000000000006</v>
      </c>
      <c r="E74" s="108">
        <f>SUM(E75:E84)</f>
        <v>258.60000000000002</v>
      </c>
      <c r="F74" s="108">
        <f>SUM(F75:F88)</f>
        <v>174.30000000000004</v>
      </c>
      <c r="G74" s="109">
        <f>F74-E74</f>
        <v>-84.299999999999983</v>
      </c>
      <c r="H74" s="109">
        <f>(F74/E74)*100</f>
        <v>67.401392111368921</v>
      </c>
      <c r="J74" s="21">
        <v>174.3</v>
      </c>
    </row>
    <row r="75" spans="1:13" s="21" customFormat="1" ht="31.5" customHeight="1">
      <c r="A75" s="107"/>
      <c r="B75" s="111" t="s">
        <v>155</v>
      </c>
      <c r="C75" s="125"/>
      <c r="D75" s="112">
        <v>7.3</v>
      </c>
      <c r="E75" s="112">
        <v>2.2999999999999998</v>
      </c>
      <c r="F75" s="112">
        <f>12.6+1.4</f>
        <v>14</v>
      </c>
      <c r="G75" s="109">
        <f t="shared" ref="G75:G88" si="10">F75-E75</f>
        <v>11.7</v>
      </c>
      <c r="H75" s="109">
        <f t="shared" ref="H75:H88" si="11">(F75/E75)*100</f>
        <v>608.69565217391312</v>
      </c>
      <c r="J75" s="126"/>
    </row>
    <row r="76" spans="1:13" s="21" customFormat="1" ht="31.5" customHeight="1">
      <c r="A76" s="107"/>
      <c r="B76" s="111" t="s">
        <v>160</v>
      </c>
      <c r="C76" s="125"/>
      <c r="D76" s="112">
        <v>1</v>
      </c>
      <c r="E76" s="112">
        <v>2.4</v>
      </c>
      <c r="F76" s="112">
        <f>3.8+1.6</f>
        <v>5.4</v>
      </c>
      <c r="G76" s="109">
        <f t="shared" si="10"/>
        <v>3.0000000000000004</v>
      </c>
      <c r="H76" s="109">
        <f t="shared" si="11"/>
        <v>225.00000000000006</v>
      </c>
      <c r="M76" s="126"/>
    </row>
    <row r="77" spans="1:13" s="21" customFormat="1" ht="52.5" customHeight="1">
      <c r="A77" s="107"/>
      <c r="B77" s="111" t="s">
        <v>171</v>
      </c>
      <c r="C77" s="125"/>
      <c r="D77" s="112">
        <v>17.100000000000001</v>
      </c>
      <c r="E77" s="112">
        <v>27.5</v>
      </c>
      <c r="F77" s="112">
        <f>1.3+17.8</f>
        <v>19.100000000000001</v>
      </c>
      <c r="G77" s="109">
        <f t="shared" si="10"/>
        <v>-8.3999999999999986</v>
      </c>
      <c r="H77" s="109">
        <f t="shared" si="11"/>
        <v>69.454545454545453</v>
      </c>
    </row>
    <row r="78" spans="1:13" s="21" customFormat="1" ht="28.5" customHeight="1">
      <c r="A78" s="107"/>
      <c r="B78" s="111" t="s">
        <v>310</v>
      </c>
      <c r="C78" s="125"/>
      <c r="D78" s="112"/>
      <c r="E78" s="112">
        <v>150</v>
      </c>
      <c r="F78" s="112">
        <f>99+1.8</f>
        <v>100.8</v>
      </c>
      <c r="G78" s="109">
        <f t="shared" si="10"/>
        <v>-49.2</v>
      </c>
      <c r="H78" s="109">
        <f t="shared" si="11"/>
        <v>67.199999999999989</v>
      </c>
    </row>
    <row r="79" spans="1:13" s="21" customFormat="1" ht="46.5" customHeight="1">
      <c r="A79" s="107"/>
      <c r="B79" s="116" t="s">
        <v>221</v>
      </c>
      <c r="C79" s="125"/>
      <c r="D79" s="112"/>
      <c r="E79" s="112">
        <v>7.5</v>
      </c>
      <c r="F79" s="112"/>
      <c r="G79" s="109">
        <f t="shared" si="10"/>
        <v>-7.5</v>
      </c>
      <c r="H79" s="109">
        <f t="shared" si="11"/>
        <v>0</v>
      </c>
    </row>
    <row r="80" spans="1:13" s="21" customFormat="1" ht="28.5" customHeight="1">
      <c r="A80" s="107"/>
      <c r="B80" s="111" t="s">
        <v>206</v>
      </c>
      <c r="C80" s="125"/>
      <c r="D80" s="112">
        <v>1.4</v>
      </c>
      <c r="E80" s="112">
        <v>2.2000000000000002</v>
      </c>
      <c r="F80" s="112">
        <f>0.5+0.9+0.2</f>
        <v>1.5999999999999999</v>
      </c>
      <c r="G80" s="109">
        <f t="shared" si="10"/>
        <v>-0.60000000000000031</v>
      </c>
      <c r="H80" s="109">
        <f t="shared" si="11"/>
        <v>72.72727272727272</v>
      </c>
    </row>
    <row r="81" spans="1:11" s="21" customFormat="1" ht="27" customHeight="1">
      <c r="A81" s="107"/>
      <c r="B81" s="111" t="s">
        <v>175</v>
      </c>
      <c r="C81" s="125"/>
      <c r="D81" s="112">
        <v>15.9</v>
      </c>
      <c r="E81" s="112">
        <v>44.8</v>
      </c>
      <c r="F81" s="112">
        <f>25.3</f>
        <v>25.3</v>
      </c>
      <c r="G81" s="109">
        <f t="shared" si="10"/>
        <v>-19.499999999999996</v>
      </c>
      <c r="H81" s="109">
        <f t="shared" si="11"/>
        <v>56.473214285714292</v>
      </c>
    </row>
    <row r="82" spans="1:11" s="21" customFormat="1" ht="28.5" customHeight="1">
      <c r="A82" s="107"/>
      <c r="B82" s="111" t="s">
        <v>176</v>
      </c>
      <c r="C82" s="125"/>
      <c r="D82" s="112">
        <v>1.4</v>
      </c>
      <c r="E82" s="112">
        <v>1.9</v>
      </c>
      <c r="F82" s="112">
        <v>1.3</v>
      </c>
      <c r="G82" s="109">
        <f t="shared" si="10"/>
        <v>-0.59999999999999987</v>
      </c>
      <c r="H82" s="109">
        <f t="shared" si="11"/>
        <v>68.421052631578945</v>
      </c>
    </row>
    <row r="83" spans="1:11" s="21" customFormat="1" ht="36" customHeight="1">
      <c r="A83" s="107"/>
      <c r="B83" s="111" t="s">
        <v>177</v>
      </c>
      <c r="C83" s="125"/>
      <c r="D83" s="112">
        <v>9.5</v>
      </c>
      <c r="E83" s="112">
        <v>19</v>
      </c>
      <c r="F83" s="112">
        <v>4.4000000000000004</v>
      </c>
      <c r="G83" s="109">
        <f t="shared" si="10"/>
        <v>-14.6</v>
      </c>
      <c r="H83" s="109">
        <f t="shared" si="11"/>
        <v>23.157894736842106</v>
      </c>
    </row>
    <row r="84" spans="1:11" s="21" customFormat="1" ht="27" customHeight="1">
      <c r="A84" s="107"/>
      <c r="B84" s="111" t="s">
        <v>178</v>
      </c>
      <c r="C84" s="125"/>
      <c r="D84" s="112"/>
      <c r="E84" s="112">
        <v>1</v>
      </c>
      <c r="F84" s="112">
        <v>0.9</v>
      </c>
      <c r="G84" s="109">
        <f t="shared" si="10"/>
        <v>-9.9999999999999978E-2</v>
      </c>
      <c r="H84" s="109">
        <f t="shared" si="11"/>
        <v>90</v>
      </c>
    </row>
    <row r="85" spans="1:11" s="21" customFormat="1" ht="31.5" customHeight="1">
      <c r="A85" s="107"/>
      <c r="B85" s="111" t="s">
        <v>174</v>
      </c>
      <c r="C85" s="125"/>
      <c r="D85" s="112">
        <v>1</v>
      </c>
      <c r="E85" s="112"/>
      <c r="F85" s="112">
        <v>1.5</v>
      </c>
      <c r="G85" s="109">
        <f t="shared" si="10"/>
        <v>1.5</v>
      </c>
      <c r="H85" s="179" t="e">
        <f t="shared" si="11"/>
        <v>#DIV/0!</v>
      </c>
    </row>
    <row r="86" spans="1:11" s="21" customFormat="1" ht="31.5" customHeight="1">
      <c r="A86" s="107"/>
      <c r="B86" s="111" t="s">
        <v>179</v>
      </c>
      <c r="C86" s="125"/>
      <c r="D86" s="112">
        <v>3.3</v>
      </c>
      <c r="E86" s="112"/>
      <c r="F86" s="112"/>
      <c r="G86" s="109">
        <f t="shared" si="10"/>
        <v>0</v>
      </c>
      <c r="H86" s="179" t="e">
        <f t="shared" si="11"/>
        <v>#DIV/0!</v>
      </c>
    </row>
    <row r="87" spans="1:11" s="21" customFormat="1" ht="26.25" customHeight="1">
      <c r="A87" s="107"/>
      <c r="B87" s="111" t="s">
        <v>244</v>
      </c>
      <c r="C87" s="125"/>
      <c r="D87" s="112">
        <v>0.4</v>
      </c>
      <c r="E87" s="112"/>
      <c r="F87" s="112"/>
      <c r="G87" s="109">
        <f t="shared" si="10"/>
        <v>0</v>
      </c>
      <c r="H87" s="179" t="e">
        <f t="shared" si="11"/>
        <v>#DIV/0!</v>
      </c>
    </row>
    <row r="88" spans="1:11" s="21" customFormat="1" ht="26.25" customHeight="1">
      <c r="A88" s="107"/>
      <c r="B88" s="111" t="s">
        <v>252</v>
      </c>
      <c r="C88" s="125"/>
      <c r="D88" s="112">
        <v>23.6</v>
      </c>
      <c r="E88" s="112"/>
      <c r="F88" s="112"/>
      <c r="G88" s="109">
        <f t="shared" si="10"/>
        <v>0</v>
      </c>
      <c r="H88" s="179" t="e">
        <f t="shared" si="11"/>
        <v>#DIV/0!</v>
      </c>
    </row>
    <row r="89" spans="1:11" s="21" customFormat="1" ht="37.5" customHeight="1">
      <c r="A89" s="275" t="s">
        <v>121</v>
      </c>
      <c r="B89" s="275"/>
      <c r="C89" s="125"/>
      <c r="D89" s="112"/>
      <c r="E89" s="108"/>
      <c r="F89" s="108"/>
      <c r="G89" s="109"/>
      <c r="H89" s="109"/>
    </row>
    <row r="90" spans="1:11" s="21" customFormat="1" ht="37.5" customHeight="1">
      <c r="A90" s="275" t="s">
        <v>93</v>
      </c>
      <c r="B90" s="275"/>
      <c r="C90" s="125">
        <v>1035</v>
      </c>
      <c r="D90" s="108">
        <f>SUM(D91:D99)</f>
        <v>51.2</v>
      </c>
      <c r="E90" s="108">
        <f>SUM(E91:E99)</f>
        <v>60.2</v>
      </c>
      <c r="F90" s="108">
        <f>SUM(F91:F99)</f>
        <v>52.6</v>
      </c>
      <c r="G90" s="109">
        <f>F90-E90</f>
        <v>-7.6000000000000014</v>
      </c>
      <c r="H90" s="109">
        <f>(F90/E90)*100</f>
        <v>87.375415282392026</v>
      </c>
      <c r="J90" s="21">
        <v>52.6</v>
      </c>
    </row>
    <row r="91" spans="1:11" s="21" customFormat="1" ht="32.25" customHeight="1">
      <c r="A91" s="128"/>
      <c r="B91" s="111" t="s">
        <v>175</v>
      </c>
      <c r="C91" s="125"/>
      <c r="D91" s="112">
        <v>5.3</v>
      </c>
      <c r="E91" s="112">
        <v>2</v>
      </c>
      <c r="F91" s="112">
        <v>4.5</v>
      </c>
      <c r="G91" s="109">
        <f t="shared" ref="G91:G94" si="12">F91-E91</f>
        <v>2.5</v>
      </c>
      <c r="H91" s="109">
        <f t="shared" ref="H91:H94" si="13">(F91/E91)*100</f>
        <v>225</v>
      </c>
    </row>
    <row r="92" spans="1:11" s="21" customFormat="1" ht="31.5" customHeight="1">
      <c r="A92" s="128"/>
      <c r="B92" s="111" t="s">
        <v>176</v>
      </c>
      <c r="C92" s="125"/>
      <c r="D92" s="112">
        <v>1</v>
      </c>
      <c r="E92" s="112">
        <v>2</v>
      </c>
      <c r="F92" s="112">
        <v>1</v>
      </c>
      <c r="G92" s="109">
        <f t="shared" si="12"/>
        <v>-1</v>
      </c>
      <c r="H92" s="109">
        <f t="shared" si="13"/>
        <v>50</v>
      </c>
      <c r="K92" s="126"/>
    </row>
    <row r="93" spans="1:11" s="21" customFormat="1" ht="30" customHeight="1">
      <c r="A93" s="128"/>
      <c r="B93" s="111" t="s">
        <v>177</v>
      </c>
      <c r="C93" s="125"/>
      <c r="D93" s="112">
        <v>17</v>
      </c>
      <c r="E93" s="112">
        <v>17.399999999999999</v>
      </c>
      <c r="F93" s="112">
        <f>15.9+4.2</f>
        <v>20.100000000000001</v>
      </c>
      <c r="G93" s="109">
        <f t="shared" si="12"/>
        <v>2.7000000000000028</v>
      </c>
      <c r="H93" s="109">
        <f t="shared" si="13"/>
        <v>115.51724137931036</v>
      </c>
    </row>
    <row r="94" spans="1:11" s="21" customFormat="1" ht="28.5" customHeight="1">
      <c r="A94" s="128"/>
      <c r="B94" s="111" t="s">
        <v>173</v>
      </c>
      <c r="C94" s="125"/>
      <c r="D94" s="112">
        <v>12.4</v>
      </c>
      <c r="E94" s="112"/>
      <c r="F94" s="112"/>
      <c r="G94" s="109">
        <f t="shared" si="12"/>
        <v>0</v>
      </c>
      <c r="H94" s="179" t="e">
        <f t="shared" si="13"/>
        <v>#DIV/0!</v>
      </c>
    </row>
    <row r="95" spans="1:11" s="21" customFormat="1" ht="30" customHeight="1">
      <c r="A95" s="128"/>
      <c r="B95" s="111" t="s">
        <v>324</v>
      </c>
      <c r="C95" s="125"/>
      <c r="D95" s="112"/>
      <c r="E95" s="112">
        <v>2</v>
      </c>
      <c r="F95" s="112">
        <v>1.1000000000000001</v>
      </c>
      <c r="G95" s="109">
        <f t="shared" ref="G95:G99" si="14">F95-E95</f>
        <v>-0.89999999999999991</v>
      </c>
      <c r="H95" s="109">
        <f t="shared" ref="H95:H99" si="15">(F95/E95)*100</f>
        <v>55.000000000000007</v>
      </c>
    </row>
    <row r="96" spans="1:11" s="21" customFormat="1" ht="32.25" customHeight="1">
      <c r="A96" s="128"/>
      <c r="B96" s="111" t="s">
        <v>364</v>
      </c>
      <c r="C96" s="125"/>
      <c r="D96" s="112"/>
      <c r="E96" s="112">
        <v>3</v>
      </c>
      <c r="F96" s="112"/>
      <c r="G96" s="109">
        <f t="shared" si="14"/>
        <v>-3</v>
      </c>
      <c r="H96" s="109">
        <f t="shared" si="15"/>
        <v>0</v>
      </c>
    </row>
    <row r="97" spans="1:9" s="21" customFormat="1" ht="31.5" customHeight="1">
      <c r="A97" s="128"/>
      <c r="B97" s="111" t="s">
        <v>239</v>
      </c>
      <c r="C97" s="125"/>
      <c r="D97" s="112">
        <v>15.5</v>
      </c>
      <c r="E97" s="112">
        <v>8.8000000000000007</v>
      </c>
      <c r="F97" s="112"/>
      <c r="G97" s="109">
        <f t="shared" si="14"/>
        <v>-8.8000000000000007</v>
      </c>
      <c r="H97" s="109">
        <f t="shared" si="15"/>
        <v>0</v>
      </c>
    </row>
    <row r="98" spans="1:9" s="21" customFormat="1" ht="31.5" customHeight="1">
      <c r="A98" s="128"/>
      <c r="B98" s="111" t="s">
        <v>222</v>
      </c>
      <c r="C98" s="125"/>
      <c r="D98" s="112"/>
      <c r="E98" s="112">
        <v>25</v>
      </c>
      <c r="F98" s="112"/>
      <c r="G98" s="109">
        <f t="shared" si="14"/>
        <v>-25</v>
      </c>
      <c r="H98" s="109">
        <f t="shared" si="15"/>
        <v>0</v>
      </c>
    </row>
    <row r="99" spans="1:9" s="21" customFormat="1" ht="31.5" customHeight="1">
      <c r="A99" s="128"/>
      <c r="B99" s="111" t="s">
        <v>223</v>
      </c>
      <c r="C99" s="125"/>
      <c r="D99" s="112"/>
      <c r="E99" s="112"/>
      <c r="F99" s="112">
        <v>25.9</v>
      </c>
      <c r="G99" s="109">
        <f t="shared" si="14"/>
        <v>25.9</v>
      </c>
      <c r="H99" s="179" t="e">
        <f t="shared" si="15"/>
        <v>#DIV/0!</v>
      </c>
    </row>
    <row r="100" spans="1:9">
      <c r="B100" s="26"/>
      <c r="D100" s="129"/>
      <c r="E100" s="25"/>
      <c r="F100" s="25"/>
    </row>
    <row r="101" spans="1:9" ht="24.75" customHeight="1">
      <c r="B101" s="130" t="s">
        <v>258</v>
      </c>
      <c r="C101" s="131"/>
      <c r="D101" s="279"/>
      <c r="E101" s="279"/>
      <c r="F101" s="276" t="s">
        <v>207</v>
      </c>
      <c r="G101" s="276"/>
      <c r="H101" s="276"/>
      <c r="I101" s="132"/>
    </row>
    <row r="102" spans="1:9">
      <c r="B102" s="24" t="s">
        <v>60</v>
      </c>
      <c r="C102" s="15"/>
      <c r="D102" s="280" t="s">
        <v>66</v>
      </c>
      <c r="E102" s="280"/>
      <c r="F102" s="277" t="s">
        <v>17</v>
      </c>
      <c r="G102" s="277"/>
      <c r="H102" s="277"/>
    </row>
    <row r="103" spans="1:9">
      <c r="B103" s="26"/>
      <c r="D103" s="129"/>
      <c r="E103" s="25"/>
      <c r="F103" s="25"/>
    </row>
    <row r="104" spans="1:9">
      <c r="B104" s="26"/>
      <c r="D104" s="129"/>
      <c r="E104" s="25"/>
      <c r="F104" s="25"/>
    </row>
    <row r="105" spans="1:9">
      <c r="B105" s="26"/>
      <c r="D105" s="129"/>
      <c r="E105" s="25"/>
      <c r="F105" s="25"/>
    </row>
    <row r="106" spans="1:9">
      <c r="B106" s="26"/>
      <c r="D106" s="129"/>
      <c r="E106" s="25"/>
      <c r="F106" s="25"/>
    </row>
    <row r="107" spans="1:9">
      <c r="B107" s="26"/>
      <c r="D107" s="129"/>
      <c r="E107" s="25"/>
      <c r="F107" s="25"/>
    </row>
    <row r="108" spans="1:9">
      <c r="B108" s="26"/>
      <c r="D108" s="129"/>
      <c r="E108" s="25"/>
      <c r="F108" s="25"/>
    </row>
    <row r="109" spans="1:9">
      <c r="B109" s="26"/>
      <c r="D109" s="129"/>
      <c r="E109" s="25"/>
      <c r="F109" s="25"/>
    </row>
    <row r="110" spans="1:9">
      <c r="B110" s="26"/>
      <c r="D110" s="129"/>
      <c r="E110" s="25"/>
      <c r="F110" s="25"/>
    </row>
    <row r="111" spans="1:9">
      <c r="B111" s="26"/>
      <c r="D111" s="129"/>
      <c r="E111" s="25"/>
      <c r="F111" s="25"/>
    </row>
    <row r="112" spans="1:9">
      <c r="B112" s="26"/>
      <c r="D112" s="129"/>
      <c r="E112" s="25"/>
      <c r="F112" s="25"/>
    </row>
    <row r="113" spans="2:6">
      <c r="B113" s="26"/>
      <c r="D113" s="129"/>
      <c r="E113" s="25"/>
      <c r="F113" s="25"/>
    </row>
    <row r="114" spans="2:6">
      <c r="B114" s="26"/>
      <c r="D114" s="129"/>
      <c r="E114" s="25"/>
      <c r="F114" s="25"/>
    </row>
    <row r="115" spans="2:6">
      <c r="B115" s="26"/>
      <c r="D115" s="129"/>
      <c r="E115" s="25"/>
      <c r="F115" s="25"/>
    </row>
    <row r="116" spans="2:6">
      <c r="B116" s="26"/>
      <c r="D116" s="129"/>
      <c r="E116" s="25"/>
      <c r="F116" s="25"/>
    </row>
    <row r="117" spans="2:6">
      <c r="B117" s="26"/>
      <c r="D117" s="129"/>
      <c r="E117" s="25"/>
      <c r="F117" s="25"/>
    </row>
    <row r="118" spans="2:6">
      <c r="B118" s="26"/>
      <c r="D118" s="129"/>
      <c r="E118" s="25"/>
      <c r="F118" s="25"/>
    </row>
    <row r="119" spans="2:6">
      <c r="B119" s="26"/>
      <c r="D119" s="129"/>
      <c r="E119" s="25"/>
      <c r="F119" s="25"/>
    </row>
    <row r="120" spans="2:6">
      <c r="B120" s="26"/>
      <c r="D120" s="129"/>
      <c r="E120" s="25"/>
      <c r="F120" s="25"/>
    </row>
    <row r="121" spans="2:6">
      <c r="B121" s="26"/>
      <c r="D121" s="129"/>
      <c r="E121" s="25"/>
      <c r="F121" s="25"/>
    </row>
    <row r="122" spans="2:6">
      <c r="B122" s="26"/>
      <c r="D122" s="129"/>
      <c r="E122" s="25"/>
      <c r="F122" s="25"/>
    </row>
    <row r="123" spans="2:6">
      <c r="B123" s="26"/>
      <c r="D123" s="129"/>
      <c r="E123" s="25"/>
      <c r="F123" s="25"/>
    </row>
    <row r="124" spans="2:6">
      <c r="B124" s="26"/>
      <c r="D124" s="129"/>
      <c r="E124" s="25"/>
      <c r="F124" s="25"/>
    </row>
    <row r="125" spans="2:6">
      <c r="B125" s="26"/>
      <c r="D125" s="129"/>
      <c r="E125" s="25"/>
      <c r="F125" s="25"/>
    </row>
    <row r="126" spans="2:6">
      <c r="B126" s="26"/>
      <c r="D126" s="129"/>
      <c r="E126" s="25"/>
      <c r="F126" s="25"/>
    </row>
    <row r="127" spans="2:6">
      <c r="B127" s="26"/>
      <c r="D127" s="129"/>
      <c r="E127" s="25"/>
      <c r="F127" s="25"/>
    </row>
    <row r="128" spans="2:6">
      <c r="B128" s="26"/>
      <c r="D128" s="129"/>
      <c r="E128" s="25"/>
      <c r="F128" s="25"/>
    </row>
    <row r="129" spans="2:6">
      <c r="B129" s="26"/>
      <c r="D129" s="129"/>
      <c r="E129" s="25"/>
      <c r="F129" s="25"/>
    </row>
    <row r="130" spans="2:6">
      <c r="B130" s="26"/>
      <c r="D130" s="129"/>
      <c r="E130" s="25"/>
      <c r="F130" s="25"/>
    </row>
    <row r="131" spans="2:6">
      <c r="B131" s="26"/>
      <c r="D131" s="129"/>
      <c r="E131" s="25"/>
      <c r="F131" s="25"/>
    </row>
    <row r="132" spans="2:6">
      <c r="B132" s="26"/>
      <c r="D132" s="129"/>
      <c r="E132" s="25"/>
      <c r="F132" s="25"/>
    </row>
    <row r="133" spans="2:6">
      <c r="B133" s="26"/>
      <c r="D133" s="129"/>
      <c r="E133" s="25"/>
      <c r="F133" s="25"/>
    </row>
    <row r="134" spans="2:6">
      <c r="B134" s="26"/>
      <c r="D134" s="129"/>
      <c r="E134" s="25"/>
      <c r="F134" s="25"/>
    </row>
    <row r="135" spans="2:6">
      <c r="B135" s="26"/>
      <c r="D135" s="129"/>
      <c r="E135" s="25"/>
      <c r="F135" s="25"/>
    </row>
    <row r="136" spans="2:6">
      <c r="B136" s="26"/>
      <c r="D136" s="129"/>
      <c r="E136" s="25"/>
      <c r="F136" s="25"/>
    </row>
    <row r="137" spans="2:6">
      <c r="B137" s="26"/>
      <c r="D137" s="129"/>
      <c r="E137" s="25"/>
      <c r="F137" s="25"/>
    </row>
    <row r="138" spans="2:6">
      <c r="B138" s="26"/>
      <c r="D138" s="129"/>
      <c r="E138" s="25"/>
      <c r="F138" s="25"/>
    </row>
    <row r="139" spans="2:6">
      <c r="B139" s="26"/>
      <c r="D139" s="129"/>
      <c r="E139" s="25"/>
      <c r="F139" s="25"/>
    </row>
    <row r="140" spans="2:6">
      <c r="B140" s="26"/>
      <c r="D140" s="129"/>
      <c r="E140" s="25"/>
      <c r="F140" s="25"/>
    </row>
    <row r="141" spans="2:6">
      <c r="B141" s="26"/>
      <c r="D141" s="129"/>
      <c r="E141" s="25"/>
      <c r="F141" s="25"/>
    </row>
    <row r="142" spans="2:6">
      <c r="B142" s="26"/>
      <c r="D142" s="129"/>
      <c r="E142" s="25"/>
      <c r="F142" s="25"/>
    </row>
    <row r="143" spans="2:6">
      <c r="B143" s="26"/>
      <c r="D143" s="129"/>
      <c r="E143" s="25"/>
      <c r="F143" s="25"/>
    </row>
    <row r="144" spans="2:6">
      <c r="B144" s="26"/>
      <c r="D144" s="129"/>
      <c r="E144" s="25"/>
      <c r="F144" s="25"/>
    </row>
    <row r="145" spans="2:6">
      <c r="B145" s="26"/>
      <c r="D145" s="129"/>
      <c r="E145" s="25"/>
      <c r="F145" s="25"/>
    </row>
    <row r="146" spans="2:6">
      <c r="B146" s="26"/>
      <c r="D146" s="129"/>
      <c r="E146" s="25"/>
      <c r="F146" s="25"/>
    </row>
    <row r="147" spans="2:6">
      <c r="B147" s="26"/>
      <c r="D147" s="129"/>
      <c r="E147" s="25"/>
      <c r="F147" s="25"/>
    </row>
    <row r="148" spans="2:6">
      <c r="B148" s="26"/>
      <c r="D148" s="129"/>
      <c r="E148" s="25"/>
      <c r="F148" s="25"/>
    </row>
    <row r="149" spans="2:6">
      <c r="B149" s="26"/>
      <c r="D149" s="129"/>
      <c r="E149" s="25"/>
      <c r="F149" s="25"/>
    </row>
    <row r="150" spans="2:6">
      <c r="B150" s="26"/>
      <c r="D150" s="129"/>
      <c r="E150" s="25"/>
      <c r="F150" s="25"/>
    </row>
    <row r="151" spans="2:6">
      <c r="B151" s="26"/>
      <c r="D151" s="129"/>
      <c r="E151" s="25"/>
      <c r="F151" s="25"/>
    </row>
    <row r="152" spans="2:6">
      <c r="B152" s="26"/>
      <c r="D152" s="129"/>
      <c r="E152" s="25"/>
      <c r="F152" s="25"/>
    </row>
    <row r="153" spans="2:6">
      <c r="B153" s="26"/>
      <c r="D153" s="129"/>
      <c r="E153" s="25"/>
      <c r="F153" s="25"/>
    </row>
    <row r="154" spans="2:6">
      <c r="B154" s="26"/>
      <c r="D154" s="129"/>
      <c r="E154" s="25"/>
      <c r="F154" s="25"/>
    </row>
    <row r="155" spans="2:6">
      <c r="B155" s="26"/>
      <c r="D155" s="129"/>
      <c r="E155" s="25"/>
      <c r="F155" s="25"/>
    </row>
    <row r="156" spans="2:6">
      <c r="B156" s="26"/>
      <c r="D156" s="129"/>
      <c r="E156" s="25"/>
      <c r="F156" s="25"/>
    </row>
    <row r="157" spans="2:6">
      <c r="B157" s="26"/>
    </row>
    <row r="158" spans="2:6">
      <c r="B158" s="27"/>
    </row>
    <row r="159" spans="2:6">
      <c r="B159" s="27"/>
    </row>
    <row r="160" spans="2:6">
      <c r="B160" s="27"/>
    </row>
    <row r="161" spans="2:2">
      <c r="B161" s="27"/>
    </row>
    <row r="162" spans="2:2">
      <c r="B162" s="27"/>
    </row>
    <row r="163" spans="2:2">
      <c r="B163" s="27"/>
    </row>
    <row r="164" spans="2:2">
      <c r="B164" s="27"/>
    </row>
    <row r="165" spans="2:2">
      <c r="B165" s="27"/>
    </row>
    <row r="166" spans="2:2">
      <c r="B166" s="27"/>
    </row>
    <row r="167" spans="2:2">
      <c r="B167" s="27"/>
    </row>
    <row r="168" spans="2:2">
      <c r="B168" s="27"/>
    </row>
    <row r="169" spans="2:2">
      <c r="B169" s="27"/>
    </row>
    <row r="170" spans="2:2">
      <c r="B170" s="27"/>
    </row>
    <row r="171" spans="2:2">
      <c r="B171" s="27"/>
    </row>
    <row r="172" spans="2:2">
      <c r="B172" s="27"/>
    </row>
    <row r="173" spans="2:2">
      <c r="B173" s="27"/>
    </row>
    <row r="174" spans="2:2">
      <c r="B174" s="27"/>
    </row>
    <row r="175" spans="2:2">
      <c r="B175" s="27"/>
    </row>
    <row r="176" spans="2:2">
      <c r="B176" s="27"/>
    </row>
    <row r="177" spans="2:2">
      <c r="B177" s="27"/>
    </row>
    <row r="178" spans="2:2">
      <c r="B178" s="27"/>
    </row>
    <row r="179" spans="2:2">
      <c r="B179" s="27"/>
    </row>
    <row r="180" spans="2:2">
      <c r="B180" s="27"/>
    </row>
    <row r="181" spans="2:2">
      <c r="B181" s="27"/>
    </row>
    <row r="182" spans="2:2">
      <c r="B182" s="27"/>
    </row>
    <row r="183" spans="2:2">
      <c r="B183" s="27"/>
    </row>
    <row r="184" spans="2:2">
      <c r="B184" s="27"/>
    </row>
    <row r="185" spans="2:2">
      <c r="B185" s="27"/>
    </row>
    <row r="186" spans="2:2">
      <c r="B186" s="27"/>
    </row>
    <row r="187" spans="2:2">
      <c r="B187" s="27"/>
    </row>
    <row r="188" spans="2:2">
      <c r="B188" s="27"/>
    </row>
    <row r="189" spans="2:2">
      <c r="B189" s="27"/>
    </row>
    <row r="190" spans="2:2">
      <c r="B190" s="27"/>
    </row>
    <row r="191" spans="2:2">
      <c r="B191" s="27"/>
    </row>
    <row r="192" spans="2:2">
      <c r="B192" s="27"/>
    </row>
    <row r="193" spans="2:2">
      <c r="B193" s="27"/>
    </row>
    <row r="194" spans="2:2">
      <c r="B194" s="27"/>
    </row>
    <row r="195" spans="2:2">
      <c r="B195" s="27"/>
    </row>
    <row r="196" spans="2:2">
      <c r="B196" s="27"/>
    </row>
    <row r="197" spans="2:2">
      <c r="B197" s="27"/>
    </row>
    <row r="198" spans="2:2">
      <c r="B198" s="27"/>
    </row>
    <row r="199" spans="2:2">
      <c r="B199" s="27"/>
    </row>
    <row r="200" spans="2:2">
      <c r="B200" s="27"/>
    </row>
    <row r="201" spans="2:2">
      <c r="B201" s="27"/>
    </row>
    <row r="202" spans="2:2">
      <c r="B202" s="27"/>
    </row>
    <row r="203" spans="2:2">
      <c r="B203" s="27"/>
    </row>
    <row r="204" spans="2:2">
      <c r="B204" s="27"/>
    </row>
    <row r="205" spans="2:2">
      <c r="B205" s="27"/>
    </row>
    <row r="206" spans="2:2">
      <c r="B206" s="27"/>
    </row>
    <row r="207" spans="2:2">
      <c r="B207" s="27"/>
    </row>
    <row r="208" spans="2:2">
      <c r="B208" s="27"/>
    </row>
    <row r="209" spans="2:2">
      <c r="B209" s="27"/>
    </row>
    <row r="210" spans="2:2">
      <c r="B210" s="27"/>
    </row>
    <row r="211" spans="2:2">
      <c r="B211" s="27"/>
    </row>
    <row r="212" spans="2:2">
      <c r="B212" s="27"/>
    </row>
    <row r="213" spans="2:2">
      <c r="B213" s="27"/>
    </row>
    <row r="214" spans="2:2">
      <c r="B214" s="27"/>
    </row>
    <row r="215" spans="2:2">
      <c r="B215" s="27"/>
    </row>
    <row r="216" spans="2:2">
      <c r="B216" s="27"/>
    </row>
    <row r="217" spans="2:2">
      <c r="B217" s="27"/>
    </row>
    <row r="218" spans="2:2">
      <c r="B218" s="27"/>
    </row>
    <row r="219" spans="2:2">
      <c r="B219" s="27"/>
    </row>
    <row r="220" spans="2:2">
      <c r="B220" s="27"/>
    </row>
    <row r="221" spans="2:2">
      <c r="B221" s="27"/>
    </row>
    <row r="222" spans="2:2">
      <c r="B222" s="27"/>
    </row>
    <row r="223" spans="2:2">
      <c r="B223" s="27"/>
    </row>
    <row r="224" spans="2:2">
      <c r="B224" s="27"/>
    </row>
    <row r="225" spans="2:2">
      <c r="B225" s="27"/>
    </row>
    <row r="226" spans="2:2">
      <c r="B226" s="27"/>
    </row>
    <row r="227" spans="2:2">
      <c r="B227" s="27"/>
    </row>
    <row r="228" spans="2:2">
      <c r="B228" s="27"/>
    </row>
    <row r="229" spans="2:2">
      <c r="B229" s="27"/>
    </row>
    <row r="230" spans="2:2">
      <c r="B230" s="27"/>
    </row>
    <row r="231" spans="2:2">
      <c r="B231" s="27"/>
    </row>
    <row r="232" spans="2:2">
      <c r="B232" s="27"/>
    </row>
    <row r="233" spans="2:2">
      <c r="B233" s="27"/>
    </row>
    <row r="234" spans="2:2">
      <c r="B234" s="27"/>
    </row>
    <row r="235" spans="2:2">
      <c r="B235" s="27"/>
    </row>
    <row r="236" spans="2:2">
      <c r="B236" s="27"/>
    </row>
    <row r="237" spans="2:2">
      <c r="B237" s="27"/>
    </row>
    <row r="238" spans="2:2">
      <c r="B238" s="27"/>
    </row>
    <row r="239" spans="2:2">
      <c r="B239" s="27"/>
    </row>
    <row r="240" spans="2:2">
      <c r="B240" s="27"/>
    </row>
    <row r="241" spans="2:2">
      <c r="B241" s="27"/>
    </row>
    <row r="242" spans="2:2">
      <c r="B242" s="27"/>
    </row>
    <row r="243" spans="2:2">
      <c r="B243" s="27"/>
    </row>
    <row r="244" spans="2:2">
      <c r="B244" s="27"/>
    </row>
    <row r="245" spans="2:2">
      <c r="B245" s="27"/>
    </row>
    <row r="246" spans="2:2">
      <c r="B246" s="27"/>
    </row>
    <row r="247" spans="2:2">
      <c r="B247" s="27"/>
    </row>
    <row r="248" spans="2:2">
      <c r="B248" s="27"/>
    </row>
    <row r="249" spans="2:2">
      <c r="B249" s="27"/>
    </row>
    <row r="250" spans="2:2">
      <c r="B250" s="27"/>
    </row>
    <row r="251" spans="2:2">
      <c r="B251" s="27"/>
    </row>
    <row r="252" spans="2:2">
      <c r="B252" s="27"/>
    </row>
    <row r="253" spans="2:2">
      <c r="B253" s="27"/>
    </row>
    <row r="254" spans="2:2">
      <c r="B254" s="27"/>
    </row>
    <row r="255" spans="2:2">
      <c r="B255" s="27"/>
    </row>
    <row r="256" spans="2:2">
      <c r="B256" s="27"/>
    </row>
    <row r="257" spans="2:2">
      <c r="B257" s="27"/>
    </row>
    <row r="258" spans="2:2">
      <c r="B258" s="27"/>
    </row>
    <row r="259" spans="2:2">
      <c r="B259" s="27"/>
    </row>
    <row r="260" spans="2:2">
      <c r="B260" s="27"/>
    </row>
    <row r="261" spans="2:2">
      <c r="B261" s="27"/>
    </row>
    <row r="262" spans="2:2">
      <c r="B262" s="27"/>
    </row>
    <row r="263" spans="2:2">
      <c r="B263" s="27"/>
    </row>
    <row r="264" spans="2:2">
      <c r="B264" s="27"/>
    </row>
    <row r="265" spans="2:2">
      <c r="B265" s="27"/>
    </row>
    <row r="266" spans="2:2">
      <c r="B266" s="27"/>
    </row>
    <row r="267" spans="2:2">
      <c r="B267" s="27"/>
    </row>
    <row r="268" spans="2:2">
      <c r="B268" s="27"/>
    </row>
    <row r="269" spans="2:2">
      <c r="B269" s="27"/>
    </row>
    <row r="270" spans="2:2">
      <c r="B270" s="27"/>
    </row>
    <row r="271" spans="2:2">
      <c r="B271" s="27"/>
    </row>
    <row r="272" spans="2:2">
      <c r="B272" s="27"/>
    </row>
    <row r="273" spans="2:2">
      <c r="B273" s="27"/>
    </row>
    <row r="274" spans="2:2">
      <c r="B274" s="27"/>
    </row>
    <row r="275" spans="2:2">
      <c r="B275" s="27"/>
    </row>
    <row r="276" spans="2:2">
      <c r="B276" s="27"/>
    </row>
    <row r="277" spans="2:2">
      <c r="B277" s="27"/>
    </row>
    <row r="278" spans="2:2">
      <c r="B278" s="27"/>
    </row>
    <row r="279" spans="2:2">
      <c r="B279" s="27"/>
    </row>
    <row r="280" spans="2:2">
      <c r="B280" s="27"/>
    </row>
    <row r="281" spans="2:2">
      <c r="B281" s="27"/>
    </row>
    <row r="282" spans="2:2">
      <c r="B282" s="27"/>
    </row>
    <row r="283" spans="2:2">
      <c r="B283" s="27"/>
    </row>
    <row r="284" spans="2:2">
      <c r="B284" s="27"/>
    </row>
    <row r="285" spans="2:2">
      <c r="B285" s="27"/>
    </row>
    <row r="286" spans="2:2">
      <c r="B286" s="27"/>
    </row>
    <row r="287" spans="2:2">
      <c r="B287" s="27"/>
    </row>
    <row r="288" spans="2:2">
      <c r="B288" s="27"/>
    </row>
    <row r="289" spans="2:2">
      <c r="B289" s="27"/>
    </row>
    <row r="290" spans="2:2">
      <c r="B290" s="27"/>
    </row>
    <row r="291" spans="2:2">
      <c r="B291" s="27"/>
    </row>
    <row r="292" spans="2:2">
      <c r="B292" s="27"/>
    </row>
    <row r="293" spans="2:2">
      <c r="B293" s="27"/>
    </row>
    <row r="294" spans="2:2">
      <c r="B294" s="27"/>
    </row>
    <row r="295" spans="2:2">
      <c r="B295" s="27"/>
    </row>
    <row r="296" spans="2:2">
      <c r="B296" s="27"/>
    </row>
    <row r="297" spans="2:2">
      <c r="B297" s="27"/>
    </row>
    <row r="298" spans="2:2">
      <c r="B298" s="27"/>
    </row>
    <row r="299" spans="2:2">
      <c r="B299" s="27"/>
    </row>
    <row r="300" spans="2:2">
      <c r="B300" s="27"/>
    </row>
    <row r="301" spans="2:2">
      <c r="B301" s="27"/>
    </row>
    <row r="302" spans="2:2">
      <c r="B302" s="27"/>
    </row>
    <row r="303" spans="2:2">
      <c r="B303" s="27"/>
    </row>
    <row r="304" spans="2:2">
      <c r="B304" s="27"/>
    </row>
    <row r="305" spans="2:2">
      <c r="B305" s="27"/>
    </row>
    <row r="306" spans="2:2">
      <c r="B306" s="27"/>
    </row>
    <row r="307" spans="2:2">
      <c r="B307" s="27"/>
    </row>
    <row r="308" spans="2:2">
      <c r="B308" s="27"/>
    </row>
    <row r="309" spans="2:2">
      <c r="B309" s="27"/>
    </row>
    <row r="310" spans="2:2">
      <c r="B310" s="27"/>
    </row>
    <row r="311" spans="2:2">
      <c r="B311" s="27"/>
    </row>
    <row r="312" spans="2:2">
      <c r="B312" s="27"/>
    </row>
    <row r="313" spans="2:2">
      <c r="B313" s="27"/>
    </row>
    <row r="314" spans="2:2">
      <c r="B314" s="27"/>
    </row>
    <row r="315" spans="2:2">
      <c r="B315" s="27"/>
    </row>
    <row r="316" spans="2:2">
      <c r="B316" s="27"/>
    </row>
    <row r="317" spans="2:2">
      <c r="B317" s="27"/>
    </row>
    <row r="318" spans="2:2">
      <c r="B318" s="27"/>
    </row>
    <row r="319" spans="2:2">
      <c r="B319" s="27"/>
    </row>
    <row r="320" spans="2:2">
      <c r="B320" s="27"/>
    </row>
    <row r="321" spans="2:2">
      <c r="B321" s="27"/>
    </row>
    <row r="322" spans="2:2">
      <c r="B322" s="27"/>
    </row>
    <row r="323" spans="2:2">
      <c r="B323" s="27"/>
    </row>
    <row r="324" spans="2:2">
      <c r="B324" s="27"/>
    </row>
  </sheetData>
  <mergeCells count="19">
    <mergeCell ref="B2:F2"/>
    <mergeCell ref="D101:E101"/>
    <mergeCell ref="D102:E102"/>
    <mergeCell ref="A28:B28"/>
    <mergeCell ref="A29:B29"/>
    <mergeCell ref="A30:B30"/>
    <mergeCell ref="A43:B43"/>
    <mergeCell ref="A70:B70"/>
    <mergeCell ref="A71:B71"/>
    <mergeCell ref="A74:B74"/>
    <mergeCell ref="A6:B6"/>
    <mergeCell ref="A7:B7"/>
    <mergeCell ref="A13:B13"/>
    <mergeCell ref="A22:B22"/>
    <mergeCell ref="A20:B20"/>
    <mergeCell ref="A90:B90"/>
    <mergeCell ref="A89:B89"/>
    <mergeCell ref="F101:H101"/>
    <mergeCell ref="F102:H102"/>
  </mergeCells>
  <pageMargins left="0.39370078740157483" right="0.39370078740157483" top="0.78740157480314965" bottom="0.39370078740157483" header="0.31496062992125984" footer="0.31496062992125984"/>
  <pageSetup paperSize="9" scale="80" orientation="landscape" r:id="rId1"/>
  <rowBreaks count="1" manualBreakCount="1">
    <brk id="2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R504"/>
  <sheetViews>
    <sheetView view="pageBreakPreview" zoomScale="60" zoomScaleNormal="70" workbookViewId="0">
      <selection activeCell="C96" sqref="C96"/>
    </sheetView>
  </sheetViews>
  <sheetFormatPr defaultRowHeight="18.75"/>
  <cols>
    <col min="1" max="1" width="10" style="15" customWidth="1"/>
    <col min="2" max="2" width="106.140625" style="15" customWidth="1"/>
    <col min="3" max="3" width="14.140625" style="24" customWidth="1"/>
    <col min="4" max="4" width="16.5703125" style="24" customWidth="1"/>
    <col min="5" max="5" width="17.42578125" style="24" customWidth="1"/>
    <col min="6" max="6" width="18.140625" style="24" customWidth="1"/>
    <col min="7" max="7" width="18.28515625" style="15" customWidth="1"/>
    <col min="8" max="8" width="17.7109375" style="15" customWidth="1"/>
    <col min="9" max="9" width="15.85546875" style="15" bestFit="1" customWidth="1"/>
    <col min="10" max="10" width="15.5703125" style="15" customWidth="1"/>
    <col min="11" max="11" width="13.85546875" style="21" customWidth="1"/>
    <col min="12" max="12" width="18.7109375" style="15" customWidth="1"/>
    <col min="13" max="13" width="19.7109375" style="15" customWidth="1"/>
    <col min="14" max="14" width="18.5703125" style="15" customWidth="1"/>
    <col min="15" max="15" width="16.28515625" style="24" customWidth="1"/>
    <col min="16" max="16" width="15.85546875" style="24" bestFit="1" customWidth="1"/>
    <col min="17" max="17" width="19.140625" style="24" customWidth="1"/>
    <col min="18" max="16384" width="9.140625" style="15"/>
  </cols>
  <sheetData>
    <row r="2" spans="1:18" ht="22.5" customHeight="1">
      <c r="B2" s="284" t="s">
        <v>119</v>
      </c>
      <c r="C2" s="284"/>
      <c r="D2" s="284"/>
      <c r="E2" s="284"/>
      <c r="F2" s="284"/>
      <c r="G2" s="284"/>
      <c r="H2" s="284"/>
    </row>
    <row r="3" spans="1:18">
      <c r="B3" s="16"/>
      <c r="C3" s="17"/>
      <c r="D3" s="16"/>
      <c r="E3" s="16"/>
      <c r="F3" s="16"/>
      <c r="H3" s="15" t="s">
        <v>65</v>
      </c>
    </row>
    <row r="4" spans="1:18" ht="98.25" customHeight="1">
      <c r="A4" s="18" t="s">
        <v>76</v>
      </c>
      <c r="B4" s="18" t="s">
        <v>23</v>
      </c>
      <c r="C4" s="104" t="s">
        <v>5</v>
      </c>
      <c r="D4" s="104" t="s">
        <v>274</v>
      </c>
      <c r="E4" s="104" t="s">
        <v>275</v>
      </c>
      <c r="F4" s="104" t="s">
        <v>276</v>
      </c>
      <c r="G4" s="104" t="s">
        <v>110</v>
      </c>
      <c r="H4" s="104" t="s">
        <v>113</v>
      </c>
      <c r="N4" s="114"/>
      <c r="O4" s="148"/>
      <c r="P4" s="148"/>
      <c r="Q4" s="148"/>
    </row>
    <row r="5" spans="1:18" ht="30.75" customHeight="1">
      <c r="A5" s="122">
        <v>1</v>
      </c>
      <c r="B5" s="18">
        <v>2</v>
      </c>
      <c r="C5" s="104">
        <v>3</v>
      </c>
      <c r="D5" s="104">
        <v>4</v>
      </c>
      <c r="E5" s="104">
        <v>5</v>
      </c>
      <c r="F5" s="104">
        <v>6</v>
      </c>
      <c r="G5" s="18">
        <v>7</v>
      </c>
      <c r="H5" s="18">
        <v>8</v>
      </c>
      <c r="K5" s="149"/>
      <c r="M5" s="114"/>
      <c r="O5" s="150"/>
      <c r="P5" s="150"/>
      <c r="Q5" s="150"/>
    </row>
    <row r="6" spans="1:18" ht="30.75" customHeight="1">
      <c r="A6" s="281" t="s">
        <v>84</v>
      </c>
      <c r="B6" s="281"/>
      <c r="C6" s="107"/>
      <c r="D6" s="105">
        <f>SUM(D7,D44,D49,D54,D105,D117,D145,D159,D168,D191,D201,D208,D216,D221,D233,D238,D273)</f>
        <v>28466.940000000002</v>
      </c>
      <c r="E6" s="105">
        <f t="shared" ref="E6:F6" si="0">SUM(E7,E44,E49,E54,E105,E117,E145,E159,E168,E191,E201,E208,E216,E221,E233,E238,E273)</f>
        <v>35817.9</v>
      </c>
      <c r="F6" s="105">
        <f t="shared" si="0"/>
        <v>28104.400000000001</v>
      </c>
      <c r="G6" s="18"/>
      <c r="H6" s="18"/>
      <c r="N6" s="21"/>
      <c r="O6" s="151"/>
      <c r="P6" s="151"/>
      <c r="Q6" s="151"/>
    </row>
    <row r="7" spans="1:18" ht="39.75" customHeight="1">
      <c r="A7" s="211" t="s">
        <v>85</v>
      </c>
      <c r="B7" s="212" t="s">
        <v>120</v>
      </c>
      <c r="C7" s="211"/>
      <c r="D7" s="213">
        <f>D9+D31+D39</f>
        <v>20696.7</v>
      </c>
      <c r="E7" s="213">
        <f>E9+E31+E39</f>
        <v>30551.199999999997</v>
      </c>
      <c r="F7" s="248">
        <f>F9+F31+F39</f>
        <v>20613.3</v>
      </c>
      <c r="G7" s="214">
        <f>F7-E7</f>
        <v>-9937.8999999999978</v>
      </c>
      <c r="H7" s="214">
        <f>(F7/E7)*100</f>
        <v>67.471326821859705</v>
      </c>
      <c r="I7" s="114"/>
      <c r="J7" s="114"/>
      <c r="M7" s="114"/>
      <c r="N7" s="21"/>
      <c r="O7" s="152"/>
      <c r="P7" s="152"/>
      <c r="Q7" s="152"/>
      <c r="R7" s="153"/>
    </row>
    <row r="8" spans="1:18" ht="24" customHeight="1">
      <c r="A8" s="18"/>
      <c r="B8" s="154" t="s">
        <v>86</v>
      </c>
      <c r="C8" s="104"/>
      <c r="D8" s="112"/>
      <c r="E8" s="112"/>
      <c r="F8" s="112"/>
      <c r="G8" s="113"/>
      <c r="H8" s="113"/>
      <c r="J8" s="114"/>
      <c r="M8" s="114"/>
      <c r="N8" s="21"/>
      <c r="O8" s="152"/>
      <c r="P8" s="152"/>
      <c r="Q8" s="152"/>
    </row>
    <row r="9" spans="1:18" ht="30" customHeight="1">
      <c r="A9" s="155" t="s">
        <v>87</v>
      </c>
      <c r="B9" s="128" t="s">
        <v>90</v>
      </c>
      <c r="C9" s="107">
        <v>1010</v>
      </c>
      <c r="D9" s="108">
        <f>D10+D16+D17+D19+D18</f>
        <v>19048</v>
      </c>
      <c r="E9" s="108">
        <f>E10+E16+E17+E19</f>
        <v>29816.699999999997</v>
      </c>
      <c r="F9" s="108">
        <f>F10+F16+F17+F19+F18</f>
        <v>18899.399999999998</v>
      </c>
      <c r="G9" s="113">
        <f>F9-E9</f>
        <v>-10917.3</v>
      </c>
      <c r="H9" s="113">
        <f>(F9/E9)*100</f>
        <v>63.385284085764013</v>
      </c>
      <c r="I9" s="114"/>
      <c r="L9" s="149">
        <f>L10+L18+L25</f>
        <v>28466.94</v>
      </c>
      <c r="M9" s="149">
        <f>M10+M18+M25</f>
        <v>35817.899999999994</v>
      </c>
      <c r="N9" s="149">
        <f>N10+N18+N25</f>
        <v>28104.400000000001</v>
      </c>
      <c r="O9" s="156"/>
      <c r="P9" s="152"/>
      <c r="Q9" s="152"/>
      <c r="R9" s="21"/>
    </row>
    <row r="10" spans="1:18" ht="28.5" customHeight="1">
      <c r="A10" s="157" t="s">
        <v>138</v>
      </c>
      <c r="B10" s="158" t="s">
        <v>107</v>
      </c>
      <c r="C10" s="159">
        <v>1011</v>
      </c>
      <c r="D10" s="160">
        <f>SUM(D11:D15)</f>
        <v>1381.6</v>
      </c>
      <c r="E10" s="160">
        <f>SUM(E11:E15)</f>
        <v>1915</v>
      </c>
      <c r="F10" s="160">
        <f>SUM(F11:F15)</f>
        <v>2227.8999999999996</v>
      </c>
      <c r="G10" s="161">
        <f t="shared" ref="G10:G12" si="1">F10-E10</f>
        <v>312.89999999999964</v>
      </c>
      <c r="H10" s="161">
        <f t="shared" ref="H10:H12" si="2">(F10/E10)*100</f>
        <v>116.33942558746735</v>
      </c>
      <c r="K10" s="21">
        <v>1010</v>
      </c>
      <c r="L10" s="149">
        <f>SUM(D9,D46,D56,D107,D119,D147,D161,D170,D193,D210,D223,D235,D240,D275)</f>
        <v>26226.84</v>
      </c>
      <c r="M10" s="149">
        <f t="shared" ref="M10:N10" si="3">SUM(E9,E46,E56,E107,E119,E147,E161,E170,E193,E210,E223,E235,E240,E275)</f>
        <v>34171.799999999996</v>
      </c>
      <c r="N10" s="149">
        <f t="shared" si="3"/>
        <v>25789.7</v>
      </c>
      <c r="O10" s="156"/>
      <c r="P10" s="152"/>
      <c r="Q10" s="152"/>
      <c r="R10" s="21"/>
    </row>
    <row r="11" spans="1:18" ht="25.5" customHeight="1">
      <c r="A11" s="162"/>
      <c r="B11" s="111" t="s">
        <v>139</v>
      </c>
      <c r="C11" s="163"/>
      <c r="D11" s="112">
        <v>1302.2</v>
      </c>
      <c r="E11" s="112">
        <v>1600</v>
      </c>
      <c r="F11" s="112">
        <f>1987.3+18.3</f>
        <v>2005.6</v>
      </c>
      <c r="G11" s="109">
        <f t="shared" si="1"/>
        <v>405.59999999999991</v>
      </c>
      <c r="H11" s="109">
        <f t="shared" si="2"/>
        <v>125.34999999999998</v>
      </c>
      <c r="K11" s="21">
        <v>1011</v>
      </c>
      <c r="L11" s="164">
        <f>SUM(D10,D57,D108,D148,D162,D171,D194,D224,D236,D241,)</f>
        <v>3345.7400000000002</v>
      </c>
      <c r="M11" s="164">
        <f t="shared" ref="M11:N11" si="4">SUM(E10,E57,E108,E148,E162,E171,E194,E224,E236,E241,)</f>
        <v>3512.7</v>
      </c>
      <c r="N11" s="164">
        <f t="shared" si="4"/>
        <v>5954.2</v>
      </c>
      <c r="O11" s="156"/>
      <c r="P11" s="152"/>
      <c r="Q11" s="152"/>
      <c r="R11" s="153"/>
    </row>
    <row r="12" spans="1:18" ht="27" customHeight="1">
      <c r="A12" s="162"/>
      <c r="B12" s="111" t="s">
        <v>140</v>
      </c>
      <c r="C12" s="163"/>
      <c r="D12" s="112">
        <v>70.599999999999994</v>
      </c>
      <c r="E12" s="112">
        <v>175</v>
      </c>
      <c r="F12" s="112">
        <v>136.19999999999999</v>
      </c>
      <c r="G12" s="109">
        <f t="shared" si="1"/>
        <v>-38.800000000000011</v>
      </c>
      <c r="H12" s="109">
        <f t="shared" si="2"/>
        <v>77.828571428571422</v>
      </c>
      <c r="K12" s="21">
        <v>1012</v>
      </c>
      <c r="L12" s="164">
        <f>SUM(D16,D47,D64,D120,D152,)</f>
        <v>16155.1</v>
      </c>
      <c r="M12" s="164">
        <f t="shared" ref="M12:N12" si="5">SUM(E16,E47,E64,E120,E152,)</f>
        <v>22251.3</v>
      </c>
      <c r="N12" s="164">
        <f t="shared" si="5"/>
        <v>13708.5</v>
      </c>
      <c r="O12" s="156"/>
      <c r="P12" s="152"/>
      <c r="R12" s="21"/>
    </row>
    <row r="13" spans="1:18" ht="27" customHeight="1">
      <c r="A13" s="162"/>
      <c r="B13" s="111" t="s">
        <v>314</v>
      </c>
      <c r="C13" s="163"/>
      <c r="D13" s="112"/>
      <c r="E13" s="112">
        <v>15</v>
      </c>
      <c r="F13" s="112"/>
      <c r="G13" s="109">
        <f t="shared" ref="G13:G76" si="6">F13-E13</f>
        <v>-15</v>
      </c>
      <c r="H13" s="109">
        <f t="shared" ref="H13:H76" si="7">(F13/E13)*100</f>
        <v>0</v>
      </c>
      <c r="K13" s="21">
        <v>1013</v>
      </c>
      <c r="L13" s="164">
        <f>SUM(D17,D48,D65,D121,D153,)</f>
        <v>3366.2</v>
      </c>
      <c r="M13" s="164">
        <f t="shared" ref="M13:N13" si="8">SUM(E17,E48,E65,E121,E153,)</f>
        <v>5445.7000000000007</v>
      </c>
      <c r="N13" s="164">
        <f t="shared" si="8"/>
        <v>2970.5</v>
      </c>
      <c r="O13" s="156"/>
      <c r="P13" s="152"/>
      <c r="Q13" s="152"/>
      <c r="R13" s="21"/>
    </row>
    <row r="14" spans="1:18" ht="37.5" customHeight="1">
      <c r="A14" s="162"/>
      <c r="B14" s="111" t="s">
        <v>164</v>
      </c>
      <c r="C14" s="163"/>
      <c r="D14" s="112"/>
      <c r="E14" s="112">
        <v>75</v>
      </c>
      <c r="F14" s="112">
        <f>51.9+0.6</f>
        <v>52.5</v>
      </c>
      <c r="G14" s="109">
        <f t="shared" si="6"/>
        <v>-22.5</v>
      </c>
      <c r="H14" s="109">
        <f t="shared" si="7"/>
        <v>70</v>
      </c>
      <c r="K14" s="21">
        <v>1014</v>
      </c>
      <c r="L14" s="164">
        <f>SUM(D18,D66,D122,D247,D276)</f>
        <v>299.89999999999998</v>
      </c>
      <c r="M14" s="164">
        <f t="shared" ref="M14:N14" si="9">SUM(E18,E66,E122,E247,E276)</f>
        <v>450</v>
      </c>
      <c r="N14" s="164">
        <f t="shared" si="9"/>
        <v>957.5</v>
      </c>
      <c r="O14" s="156"/>
      <c r="P14" s="152"/>
      <c r="Q14" s="152"/>
    </row>
    <row r="15" spans="1:18" ht="27" customHeight="1">
      <c r="A15" s="162"/>
      <c r="B15" s="111" t="s">
        <v>245</v>
      </c>
      <c r="C15" s="163"/>
      <c r="D15" s="112">
        <v>8.8000000000000007</v>
      </c>
      <c r="E15" s="112">
        <v>50</v>
      </c>
      <c r="F15" s="112">
        <v>33.6</v>
      </c>
      <c r="G15" s="109">
        <f t="shared" si="6"/>
        <v>-16.399999999999999</v>
      </c>
      <c r="H15" s="109">
        <f t="shared" si="7"/>
        <v>67.2</v>
      </c>
      <c r="K15" s="21">
        <v>1015</v>
      </c>
      <c r="L15" s="164">
        <f>SUM(D19,D67,D114,D123,D154,D165,D180,D211,D229,D248,)</f>
        <v>3059.8999999999996</v>
      </c>
      <c r="M15" s="164">
        <f t="shared" ref="M15:N15" si="10">SUM(E19,E67,E114,E123,E154,E165,E180,E211,E229,E248,)</f>
        <v>2512.1</v>
      </c>
      <c r="N15" s="164">
        <f t="shared" si="10"/>
        <v>2198.9999999999995</v>
      </c>
      <c r="O15" s="165"/>
      <c r="P15" s="151"/>
      <c r="Q15" s="151"/>
    </row>
    <row r="16" spans="1:18" ht="26.25" customHeight="1">
      <c r="A16" s="157" t="s">
        <v>142</v>
      </c>
      <c r="B16" s="158" t="s">
        <v>2</v>
      </c>
      <c r="C16" s="166">
        <v>1012</v>
      </c>
      <c r="D16" s="160">
        <v>14625.1</v>
      </c>
      <c r="E16" s="160">
        <v>22143.599999999999</v>
      </c>
      <c r="F16" s="160">
        <v>13599.8</v>
      </c>
      <c r="G16" s="161">
        <f t="shared" si="6"/>
        <v>-8543.7999999999993</v>
      </c>
      <c r="H16" s="161">
        <f t="shared" si="7"/>
        <v>61.416391192037437</v>
      </c>
      <c r="O16" s="156"/>
      <c r="P16" s="152"/>
      <c r="Q16" s="152"/>
    </row>
    <row r="17" spans="1:18" ht="27" customHeight="1">
      <c r="A17" s="157" t="s">
        <v>143</v>
      </c>
      <c r="B17" s="158" t="s">
        <v>3</v>
      </c>
      <c r="C17" s="166">
        <v>1013</v>
      </c>
      <c r="D17" s="160">
        <v>2945.4</v>
      </c>
      <c r="E17" s="160">
        <v>5418.1</v>
      </c>
      <c r="F17" s="160">
        <v>2946.6</v>
      </c>
      <c r="G17" s="161">
        <f t="shared" si="6"/>
        <v>-2471.5000000000005</v>
      </c>
      <c r="H17" s="161">
        <f t="shared" si="7"/>
        <v>54.384378287591581</v>
      </c>
      <c r="L17" s="164"/>
      <c r="M17" s="164"/>
      <c r="N17" s="149"/>
      <c r="O17" s="156"/>
      <c r="P17" s="152"/>
      <c r="Q17" s="152"/>
    </row>
    <row r="18" spans="1:18" ht="26.25" customHeight="1">
      <c r="A18" s="157" t="s">
        <v>144</v>
      </c>
      <c r="B18" s="158" t="s">
        <v>4</v>
      </c>
      <c r="C18" s="166">
        <v>1014</v>
      </c>
      <c r="D18" s="160">
        <v>4.0999999999999996</v>
      </c>
      <c r="E18" s="160"/>
      <c r="F18" s="160">
        <v>4.0999999999999996</v>
      </c>
      <c r="G18" s="161">
        <f t="shared" si="6"/>
        <v>4.0999999999999996</v>
      </c>
      <c r="H18" s="167" t="e">
        <f t="shared" si="7"/>
        <v>#DIV/0!</v>
      </c>
      <c r="I18" s="168"/>
      <c r="K18" s="21">
        <v>1020</v>
      </c>
      <c r="L18" s="149">
        <f>SUM(D31,D89,D133,D185,D213,D256,D278)</f>
        <v>1832</v>
      </c>
      <c r="M18" s="149">
        <f t="shared" ref="M18:N18" si="11">SUM(E31,E89,E133,E185,E213,E256,E278)</f>
        <v>1144.5</v>
      </c>
      <c r="N18" s="149">
        <f t="shared" si="11"/>
        <v>1696.0000000000002</v>
      </c>
      <c r="O18" s="156"/>
      <c r="P18" s="152"/>
      <c r="Q18" s="152"/>
    </row>
    <row r="19" spans="1:18" ht="26.25" customHeight="1">
      <c r="A19" s="157" t="s">
        <v>145</v>
      </c>
      <c r="B19" s="158" t="s">
        <v>146</v>
      </c>
      <c r="C19" s="166">
        <v>1015</v>
      </c>
      <c r="D19" s="160">
        <f>SUM(D20:D29)</f>
        <v>91.8</v>
      </c>
      <c r="E19" s="160">
        <f>SUM(E20:E29)</f>
        <v>340</v>
      </c>
      <c r="F19" s="160">
        <f>SUM(F20:F30)</f>
        <v>121</v>
      </c>
      <c r="G19" s="161">
        <f t="shared" si="6"/>
        <v>-219</v>
      </c>
      <c r="H19" s="161">
        <f t="shared" si="7"/>
        <v>35.588235294117645</v>
      </c>
      <c r="K19" s="21">
        <v>1021</v>
      </c>
      <c r="L19" s="164">
        <f>SUM(D90,D134,D257,)</f>
        <v>14.2</v>
      </c>
      <c r="M19" s="164">
        <f t="shared" ref="M19:N19" si="12">SUM(E90,E134,E257,)</f>
        <v>17.5</v>
      </c>
      <c r="N19" s="164">
        <f t="shared" si="12"/>
        <v>7.1999999999999993</v>
      </c>
      <c r="O19" s="156"/>
      <c r="P19" s="152"/>
      <c r="Q19" s="152"/>
      <c r="R19" s="153"/>
    </row>
    <row r="20" spans="1:18" ht="27" customHeight="1">
      <c r="A20" s="169"/>
      <c r="B20" s="121" t="s">
        <v>147</v>
      </c>
      <c r="C20" s="110"/>
      <c r="D20" s="170"/>
      <c r="E20" s="170">
        <v>15</v>
      </c>
      <c r="F20" s="170"/>
      <c r="G20" s="109">
        <f t="shared" si="6"/>
        <v>-15</v>
      </c>
      <c r="H20" s="109">
        <f t="shared" si="7"/>
        <v>0</v>
      </c>
      <c r="K20" s="21">
        <v>1022</v>
      </c>
      <c r="L20" s="164">
        <f>SUM(D32,)</f>
        <v>1063.8</v>
      </c>
      <c r="M20" s="164">
        <f t="shared" ref="M20:N20" si="13">SUM(E32,)</f>
        <v>494.6</v>
      </c>
      <c r="N20" s="164">
        <f t="shared" si="13"/>
        <v>1188.7</v>
      </c>
      <c r="O20" s="156"/>
      <c r="P20" s="152"/>
      <c r="Q20" s="152"/>
      <c r="R20" s="21"/>
    </row>
    <row r="21" spans="1:18" ht="26.25" customHeight="1">
      <c r="A21" s="169"/>
      <c r="B21" s="111" t="s">
        <v>148</v>
      </c>
      <c r="C21" s="110"/>
      <c r="D21" s="170">
        <v>41.9</v>
      </c>
      <c r="E21" s="170">
        <v>62.5</v>
      </c>
      <c r="F21" s="170">
        <v>46.8</v>
      </c>
      <c r="G21" s="109">
        <f t="shared" si="6"/>
        <v>-15.700000000000003</v>
      </c>
      <c r="H21" s="109">
        <f t="shared" si="7"/>
        <v>74.88</v>
      </c>
      <c r="K21" s="21">
        <v>1023</v>
      </c>
      <c r="L21" s="164">
        <f>SUM(D33,)</f>
        <v>228</v>
      </c>
      <c r="M21" s="164">
        <f t="shared" ref="M21:N21" si="14">SUM(E33,)</f>
        <v>108.8</v>
      </c>
      <c r="N21" s="164">
        <f t="shared" si="14"/>
        <v>212.5</v>
      </c>
      <c r="O21" s="156"/>
      <c r="P21" s="152"/>
      <c r="Q21" s="152"/>
    </row>
    <row r="22" spans="1:18" ht="26.25" customHeight="1">
      <c r="A22" s="169"/>
      <c r="B22" s="111" t="s">
        <v>150</v>
      </c>
      <c r="C22" s="110"/>
      <c r="D22" s="170">
        <v>3.5</v>
      </c>
      <c r="E22" s="170">
        <v>19.100000000000001</v>
      </c>
      <c r="F22" s="170">
        <v>6.7</v>
      </c>
      <c r="G22" s="109">
        <f t="shared" si="6"/>
        <v>-12.400000000000002</v>
      </c>
      <c r="H22" s="109">
        <f t="shared" si="7"/>
        <v>35.078534031413611</v>
      </c>
      <c r="K22" s="21">
        <v>1024</v>
      </c>
      <c r="L22" s="164">
        <f>SUM(D279)</f>
        <v>444.1</v>
      </c>
      <c r="M22" s="164">
        <f t="shared" ref="M22:N22" si="15">SUM(E279)</f>
        <v>265</v>
      </c>
      <c r="N22" s="164">
        <f t="shared" si="15"/>
        <v>113.3</v>
      </c>
      <c r="O22" s="156"/>
      <c r="P22" s="152"/>
      <c r="Q22" s="152"/>
    </row>
    <row r="23" spans="1:18" ht="26.25" customHeight="1">
      <c r="A23" s="169"/>
      <c r="B23" s="111" t="s">
        <v>151</v>
      </c>
      <c r="C23" s="110"/>
      <c r="D23" s="170"/>
      <c r="E23" s="170">
        <v>80</v>
      </c>
      <c r="F23" s="170">
        <v>35.5</v>
      </c>
      <c r="G23" s="109">
        <f t="shared" si="6"/>
        <v>-44.5</v>
      </c>
      <c r="H23" s="109">
        <f t="shared" si="7"/>
        <v>44.375</v>
      </c>
      <c r="K23" s="21">
        <v>1025</v>
      </c>
      <c r="L23" s="164">
        <f>SUM(D34,D93,D137,D186,D214,D260,)</f>
        <v>81.900000000000006</v>
      </c>
      <c r="M23" s="164">
        <f t="shared" ref="M23:N23" si="16">SUM(E34,E93,E137,E186,E214,E260,)</f>
        <v>258.60000000000002</v>
      </c>
      <c r="N23" s="164">
        <f t="shared" si="16"/>
        <v>174.3</v>
      </c>
      <c r="O23" s="156"/>
    </row>
    <row r="24" spans="1:18" ht="26.25" customHeight="1">
      <c r="A24" s="169"/>
      <c r="B24" s="111" t="s">
        <v>152</v>
      </c>
      <c r="C24" s="110" t="s">
        <v>241</v>
      </c>
      <c r="D24" s="170">
        <v>46.4</v>
      </c>
      <c r="E24" s="170">
        <v>75</v>
      </c>
      <c r="F24" s="170">
        <f>5.7+6.3-3.3</f>
        <v>8.6999999999999993</v>
      </c>
      <c r="G24" s="109">
        <f t="shared" si="6"/>
        <v>-66.3</v>
      </c>
      <c r="H24" s="109">
        <f t="shared" si="7"/>
        <v>11.6</v>
      </c>
      <c r="L24" s="164"/>
      <c r="M24" s="164"/>
      <c r="N24" s="164"/>
      <c r="O24" s="156"/>
      <c r="P24" s="152"/>
      <c r="Q24" s="152"/>
    </row>
    <row r="25" spans="1:18" ht="26.25" customHeight="1">
      <c r="A25" s="169"/>
      <c r="B25" s="111" t="s">
        <v>153</v>
      </c>
      <c r="C25" s="110"/>
      <c r="D25" s="170"/>
      <c r="E25" s="170">
        <v>17.5</v>
      </c>
      <c r="F25" s="170"/>
      <c r="G25" s="109">
        <f t="shared" si="6"/>
        <v>-17.5</v>
      </c>
      <c r="H25" s="109">
        <f t="shared" si="7"/>
        <v>0</v>
      </c>
      <c r="K25" s="21">
        <v>1030</v>
      </c>
      <c r="L25" s="149">
        <f>SUM(D39,D51,D101,D142,D203,D218,D269,)</f>
        <v>408.09999999999997</v>
      </c>
      <c r="M25" s="149">
        <f t="shared" ref="M25:N25" si="17">SUM(E39,E51,E101,E142,E203,E218,E269,)</f>
        <v>501.59999999999997</v>
      </c>
      <c r="N25" s="149">
        <f t="shared" si="17"/>
        <v>618.70000000000005</v>
      </c>
      <c r="O25" s="156"/>
      <c r="P25" s="152"/>
      <c r="Q25" s="152"/>
    </row>
    <row r="26" spans="1:18" ht="26.25" customHeight="1">
      <c r="A26" s="169"/>
      <c r="B26" s="111" t="s">
        <v>168</v>
      </c>
      <c r="C26" s="110"/>
      <c r="D26" s="170"/>
      <c r="E26" s="170">
        <v>20.5</v>
      </c>
      <c r="F26" s="170"/>
      <c r="G26" s="109">
        <f t="shared" si="6"/>
        <v>-20.5</v>
      </c>
      <c r="H26" s="109">
        <f t="shared" si="7"/>
        <v>0</v>
      </c>
      <c r="K26" s="21">
        <v>1031</v>
      </c>
      <c r="L26" s="164"/>
      <c r="M26" s="164"/>
      <c r="N26" s="164"/>
      <c r="O26" s="156"/>
      <c r="P26" s="152"/>
      <c r="Q26" s="152"/>
    </row>
    <row r="27" spans="1:18" ht="26.25" customHeight="1">
      <c r="A27" s="169"/>
      <c r="B27" s="111" t="s">
        <v>170</v>
      </c>
      <c r="C27" s="110"/>
      <c r="D27" s="170"/>
      <c r="E27" s="170">
        <v>25</v>
      </c>
      <c r="F27" s="170"/>
      <c r="G27" s="109">
        <f t="shared" si="6"/>
        <v>-25</v>
      </c>
      <c r="H27" s="109">
        <f t="shared" si="7"/>
        <v>0</v>
      </c>
      <c r="K27" s="21">
        <v>1032</v>
      </c>
      <c r="L27" s="164">
        <f>SUM(D40,D52,)</f>
        <v>282.8</v>
      </c>
      <c r="M27" s="164">
        <f t="shared" ref="M27:N27" si="18">SUM(E40,E52,)</f>
        <v>361.8</v>
      </c>
      <c r="N27" s="164">
        <f t="shared" si="18"/>
        <v>483.6</v>
      </c>
      <c r="O27" s="156"/>
      <c r="P27" s="152"/>
      <c r="Q27" s="152"/>
    </row>
    <row r="28" spans="1:18" ht="29.25" customHeight="1">
      <c r="A28" s="169"/>
      <c r="B28" s="121" t="s">
        <v>154</v>
      </c>
      <c r="C28" s="110"/>
      <c r="D28" s="170"/>
      <c r="E28" s="170">
        <v>15.4</v>
      </c>
      <c r="F28" s="170">
        <v>9.3000000000000007</v>
      </c>
      <c r="G28" s="109">
        <f t="shared" si="6"/>
        <v>-6.1</v>
      </c>
      <c r="H28" s="109">
        <f t="shared" si="7"/>
        <v>60.389610389610397</v>
      </c>
      <c r="K28" s="21">
        <v>1033</v>
      </c>
      <c r="L28" s="164">
        <f>SUM(D41,D53)</f>
        <v>74.099999999999994</v>
      </c>
      <c r="M28" s="164">
        <f t="shared" ref="M28:N28" si="19">SUM(E41,E53)</f>
        <v>79.599999999999994</v>
      </c>
      <c r="N28" s="164">
        <f t="shared" si="19"/>
        <v>82.5</v>
      </c>
      <c r="O28" s="156"/>
      <c r="P28" s="152"/>
      <c r="Q28" s="152"/>
    </row>
    <row r="29" spans="1:18" ht="26.25" customHeight="1">
      <c r="A29" s="169"/>
      <c r="B29" s="111" t="s">
        <v>155</v>
      </c>
      <c r="C29" s="110"/>
      <c r="D29" s="170"/>
      <c r="E29" s="170">
        <v>10</v>
      </c>
      <c r="F29" s="170"/>
      <c r="G29" s="109">
        <f t="shared" si="6"/>
        <v>-10</v>
      </c>
      <c r="H29" s="109">
        <f t="shared" si="7"/>
        <v>0</v>
      </c>
      <c r="K29" s="21">
        <v>1034</v>
      </c>
      <c r="L29" s="164"/>
      <c r="M29" s="164"/>
      <c r="N29" s="164"/>
      <c r="O29" s="156"/>
      <c r="P29" s="152"/>
      <c r="Q29" s="152"/>
    </row>
    <row r="30" spans="1:18" ht="26.25" customHeight="1">
      <c r="A30" s="169"/>
      <c r="B30" s="111" t="s">
        <v>248</v>
      </c>
      <c r="C30" s="110"/>
      <c r="D30" s="170"/>
      <c r="E30" s="170"/>
      <c r="F30" s="170">
        <v>14</v>
      </c>
      <c r="G30" s="109">
        <f t="shared" si="6"/>
        <v>14</v>
      </c>
      <c r="H30" s="179" t="e">
        <f t="shared" si="7"/>
        <v>#DIV/0!</v>
      </c>
      <c r="K30" s="21">
        <v>1035</v>
      </c>
      <c r="L30" s="164">
        <f>SUM(D42,D102,D143,D204,D219,D270)</f>
        <v>51.2</v>
      </c>
      <c r="M30" s="164">
        <f t="shared" ref="M30:N30" si="20">SUM(E42,E102,E143,E204,E219,E270)</f>
        <v>60.2</v>
      </c>
      <c r="N30" s="164">
        <f t="shared" si="20"/>
        <v>52.6</v>
      </c>
      <c r="O30" s="156"/>
      <c r="P30" s="152"/>
      <c r="Q30" s="152"/>
    </row>
    <row r="31" spans="1:18" ht="26.25" customHeight="1">
      <c r="A31" s="155" t="s">
        <v>88</v>
      </c>
      <c r="B31" s="120" t="s">
        <v>92</v>
      </c>
      <c r="C31" s="107">
        <v>1020</v>
      </c>
      <c r="D31" s="108">
        <f>D32+D33+D34</f>
        <v>1291.8</v>
      </c>
      <c r="E31" s="108">
        <f>E32+E33+E34</f>
        <v>732.5</v>
      </c>
      <c r="F31" s="108">
        <f>F32+F33+F34</f>
        <v>1500.2</v>
      </c>
      <c r="G31" s="113">
        <f t="shared" si="6"/>
        <v>767.7</v>
      </c>
      <c r="H31" s="113">
        <f t="shared" si="7"/>
        <v>204.80546075085323</v>
      </c>
      <c r="O31" s="156"/>
    </row>
    <row r="32" spans="1:18" ht="26.25" customHeight="1">
      <c r="A32" s="157" t="s">
        <v>156</v>
      </c>
      <c r="B32" s="158" t="s">
        <v>2</v>
      </c>
      <c r="C32" s="166">
        <v>1022</v>
      </c>
      <c r="D32" s="160">
        <v>1063.8</v>
      </c>
      <c r="E32" s="160">
        <v>494.6</v>
      </c>
      <c r="F32" s="160">
        <v>1188.7</v>
      </c>
      <c r="G32" s="161">
        <f t="shared" si="6"/>
        <v>694.1</v>
      </c>
      <c r="H32" s="161">
        <f t="shared" si="7"/>
        <v>240.33562474727051</v>
      </c>
      <c r="K32" s="21">
        <v>9000</v>
      </c>
      <c r="L32" s="149">
        <f>L11+L19+L26</f>
        <v>3359.94</v>
      </c>
      <c r="M32" s="149">
        <f t="shared" ref="L32:N36" si="21">M11+M19+M26</f>
        <v>3530.2</v>
      </c>
      <c r="N32" s="149">
        <f t="shared" si="21"/>
        <v>5961.4</v>
      </c>
      <c r="O32" s="171"/>
      <c r="P32" s="172"/>
      <c r="Q32" s="172"/>
    </row>
    <row r="33" spans="1:17" ht="26.25" customHeight="1">
      <c r="A33" s="157" t="s">
        <v>157</v>
      </c>
      <c r="B33" s="158" t="s">
        <v>3</v>
      </c>
      <c r="C33" s="166">
        <v>1023</v>
      </c>
      <c r="D33" s="160">
        <v>228</v>
      </c>
      <c r="E33" s="160">
        <v>108.8</v>
      </c>
      <c r="F33" s="160">
        <v>212.5</v>
      </c>
      <c r="G33" s="161">
        <f t="shared" si="6"/>
        <v>103.7</v>
      </c>
      <c r="H33" s="161">
        <f t="shared" si="7"/>
        <v>195.3125</v>
      </c>
      <c r="K33" s="21">
        <v>9010</v>
      </c>
      <c r="L33" s="164">
        <f>L12+L20+L27</f>
        <v>17501.7</v>
      </c>
      <c r="M33" s="164">
        <f>M12+M20+M27</f>
        <v>23107.699999999997</v>
      </c>
      <c r="N33" s="164">
        <f t="shared" si="21"/>
        <v>15380.800000000001</v>
      </c>
      <c r="O33" s="171"/>
      <c r="P33" s="172"/>
      <c r="Q33" s="172"/>
    </row>
    <row r="34" spans="1:17" ht="26.25" customHeight="1">
      <c r="A34" s="157" t="s">
        <v>158</v>
      </c>
      <c r="B34" s="158" t="s">
        <v>159</v>
      </c>
      <c r="C34" s="159">
        <v>1025</v>
      </c>
      <c r="D34" s="160">
        <f>SUM(D35:D38)</f>
        <v>0</v>
      </c>
      <c r="E34" s="160">
        <f>SUM(E35:E38)</f>
        <v>129.1</v>
      </c>
      <c r="F34" s="160">
        <f>SUM(F35:F38)</f>
        <v>99</v>
      </c>
      <c r="G34" s="161">
        <f t="shared" si="6"/>
        <v>-30.099999999999994</v>
      </c>
      <c r="H34" s="161">
        <f t="shared" si="7"/>
        <v>76.68474051123161</v>
      </c>
      <c r="K34" s="21">
        <v>9020</v>
      </c>
      <c r="L34" s="164">
        <f t="shared" si="21"/>
        <v>3668.2999999999997</v>
      </c>
      <c r="M34" s="164">
        <f t="shared" si="21"/>
        <v>5634.1000000000013</v>
      </c>
      <c r="N34" s="164">
        <f t="shared" si="21"/>
        <v>3265.5</v>
      </c>
      <c r="O34" s="171"/>
      <c r="P34" s="173"/>
      <c r="Q34" s="173"/>
    </row>
    <row r="35" spans="1:17" ht="26.25" customHeight="1">
      <c r="A35" s="174"/>
      <c r="B35" s="111" t="s">
        <v>155</v>
      </c>
      <c r="C35" s="163"/>
      <c r="D35" s="112"/>
      <c r="E35" s="112">
        <v>0.4</v>
      </c>
      <c r="F35" s="112"/>
      <c r="G35" s="109">
        <f t="shared" si="6"/>
        <v>-0.4</v>
      </c>
      <c r="H35" s="109">
        <f t="shared" si="7"/>
        <v>0</v>
      </c>
      <c r="K35" s="21">
        <v>9030</v>
      </c>
      <c r="L35" s="164">
        <f t="shared" si="21"/>
        <v>744</v>
      </c>
      <c r="M35" s="164">
        <f t="shared" si="21"/>
        <v>715</v>
      </c>
      <c r="N35" s="164">
        <f t="shared" si="21"/>
        <v>1070.8</v>
      </c>
      <c r="O35" s="171"/>
      <c r="P35" s="173"/>
      <c r="Q35" s="173"/>
    </row>
    <row r="36" spans="1:17" ht="26.25" customHeight="1">
      <c r="A36" s="174"/>
      <c r="B36" s="111" t="s">
        <v>171</v>
      </c>
      <c r="C36" s="163"/>
      <c r="D36" s="112"/>
      <c r="E36" s="112">
        <v>27.5</v>
      </c>
      <c r="F36" s="112"/>
      <c r="G36" s="109">
        <f t="shared" si="6"/>
        <v>-27.5</v>
      </c>
      <c r="H36" s="109">
        <f t="shared" si="7"/>
        <v>0</v>
      </c>
      <c r="K36" s="21">
        <v>9040</v>
      </c>
      <c r="L36" s="164">
        <f t="shared" si="21"/>
        <v>3192.9999999999995</v>
      </c>
      <c r="M36" s="164">
        <f t="shared" si="21"/>
        <v>2830.8999999999996</v>
      </c>
      <c r="N36" s="164">
        <f t="shared" si="21"/>
        <v>2425.8999999999996</v>
      </c>
      <c r="O36" s="171"/>
      <c r="P36" s="173"/>
      <c r="Q36" s="173"/>
    </row>
    <row r="37" spans="1:17" ht="27" customHeight="1">
      <c r="A37" s="174"/>
      <c r="B37" s="111" t="s">
        <v>310</v>
      </c>
      <c r="C37" s="163"/>
      <c r="D37" s="112"/>
      <c r="E37" s="112">
        <v>100</v>
      </c>
      <c r="F37" s="112">
        <v>99</v>
      </c>
      <c r="G37" s="109">
        <f t="shared" si="6"/>
        <v>-1</v>
      </c>
      <c r="H37" s="109">
        <f t="shared" si="7"/>
        <v>99</v>
      </c>
      <c r="K37" s="21">
        <v>9050</v>
      </c>
      <c r="L37" s="149">
        <f>SUM(L32:L36)</f>
        <v>28466.94</v>
      </c>
      <c r="M37" s="149">
        <f>SUM(M32:M36)</f>
        <v>35817.9</v>
      </c>
      <c r="N37" s="149">
        <f>SUM(N32:N36)</f>
        <v>28104.400000000001</v>
      </c>
      <c r="O37" s="171"/>
      <c r="P37" s="172"/>
      <c r="Q37" s="172"/>
    </row>
    <row r="38" spans="1:17" ht="26.25" customHeight="1">
      <c r="A38" s="174"/>
      <c r="B38" s="111" t="s">
        <v>160</v>
      </c>
      <c r="C38" s="163"/>
      <c r="D38" s="112"/>
      <c r="E38" s="112">
        <v>1.2</v>
      </c>
      <c r="F38" s="112"/>
      <c r="G38" s="109">
        <f t="shared" si="6"/>
        <v>-1.2</v>
      </c>
      <c r="H38" s="109">
        <f t="shared" si="7"/>
        <v>0</v>
      </c>
      <c r="O38" s="165"/>
      <c r="P38" s="151"/>
      <c r="Q38" s="151"/>
    </row>
    <row r="39" spans="1:17" ht="25.5" customHeight="1">
      <c r="A39" s="155" t="s">
        <v>91</v>
      </c>
      <c r="B39" s="175" t="s">
        <v>93</v>
      </c>
      <c r="C39" s="107">
        <v>1030</v>
      </c>
      <c r="D39" s="108">
        <f>D40+D41</f>
        <v>356.9</v>
      </c>
      <c r="E39" s="108">
        <f>E40+E41+E42</f>
        <v>2</v>
      </c>
      <c r="F39" s="108">
        <f>F40+F41</f>
        <v>213.70000000000002</v>
      </c>
      <c r="G39" s="113">
        <f t="shared" si="6"/>
        <v>211.70000000000002</v>
      </c>
      <c r="H39" s="176">
        <f t="shared" si="7"/>
        <v>10685</v>
      </c>
      <c r="M39" s="164"/>
      <c r="N39" s="164"/>
      <c r="O39" s="156"/>
    </row>
    <row r="40" spans="1:17" ht="26.25" customHeight="1">
      <c r="A40" s="157" t="s">
        <v>161</v>
      </c>
      <c r="B40" s="158" t="s">
        <v>2</v>
      </c>
      <c r="C40" s="166">
        <v>1032</v>
      </c>
      <c r="D40" s="160">
        <v>282.8</v>
      </c>
      <c r="E40" s="160"/>
      <c r="F40" s="160">
        <f>483.6-293</f>
        <v>190.60000000000002</v>
      </c>
      <c r="G40" s="161">
        <f t="shared" si="6"/>
        <v>190.60000000000002</v>
      </c>
      <c r="H40" s="167" t="e">
        <f t="shared" si="7"/>
        <v>#DIV/0!</v>
      </c>
      <c r="O40" s="156"/>
    </row>
    <row r="41" spans="1:17" ht="23.25" customHeight="1">
      <c r="A41" s="157" t="s">
        <v>162</v>
      </c>
      <c r="B41" s="158" t="s">
        <v>3</v>
      </c>
      <c r="C41" s="166">
        <v>1033</v>
      </c>
      <c r="D41" s="160">
        <v>74.099999999999994</v>
      </c>
      <c r="E41" s="160"/>
      <c r="F41" s="160">
        <f>82.5-59.4</f>
        <v>23.1</v>
      </c>
      <c r="G41" s="161">
        <f t="shared" si="6"/>
        <v>23.1</v>
      </c>
      <c r="H41" s="167" t="e">
        <f t="shared" si="7"/>
        <v>#DIV/0!</v>
      </c>
      <c r="L41" s="177"/>
      <c r="M41" s="177"/>
      <c r="N41" s="177"/>
    </row>
    <row r="42" spans="1:17" ht="23.25" customHeight="1">
      <c r="A42" s="157" t="s">
        <v>325</v>
      </c>
      <c r="B42" s="158" t="s">
        <v>93</v>
      </c>
      <c r="C42" s="166">
        <v>1035</v>
      </c>
      <c r="D42" s="160"/>
      <c r="E42" s="160">
        <f>E43</f>
        <v>2</v>
      </c>
      <c r="F42" s="160"/>
      <c r="G42" s="161">
        <f t="shared" si="6"/>
        <v>-2</v>
      </c>
      <c r="H42" s="167">
        <f t="shared" si="7"/>
        <v>0</v>
      </c>
      <c r="L42" s="177"/>
      <c r="M42" s="177"/>
      <c r="N42" s="177"/>
    </row>
    <row r="43" spans="1:17" ht="23.25" customHeight="1">
      <c r="A43" s="157"/>
      <c r="B43" s="111" t="s">
        <v>324</v>
      </c>
      <c r="C43" s="166"/>
      <c r="D43" s="160"/>
      <c r="E43" s="112">
        <v>2</v>
      </c>
      <c r="F43" s="160"/>
      <c r="G43" s="161">
        <f t="shared" si="6"/>
        <v>-2</v>
      </c>
      <c r="H43" s="167">
        <f t="shared" si="7"/>
        <v>0</v>
      </c>
      <c r="L43" s="177"/>
      <c r="M43" s="177"/>
      <c r="N43" s="177"/>
    </row>
    <row r="44" spans="1:17" ht="42" customHeight="1">
      <c r="A44" s="215" t="s">
        <v>94</v>
      </c>
      <c r="B44" s="212" t="s">
        <v>250</v>
      </c>
      <c r="C44" s="216"/>
      <c r="D44" s="213">
        <f>D46</f>
        <v>1776</v>
      </c>
      <c r="E44" s="213">
        <f>E46</f>
        <v>0</v>
      </c>
      <c r="F44" s="213">
        <f>F46</f>
        <v>0</v>
      </c>
      <c r="G44" s="214">
        <f t="shared" si="6"/>
        <v>0</v>
      </c>
      <c r="H44" s="217" t="e">
        <f t="shared" si="7"/>
        <v>#DIV/0!</v>
      </c>
    </row>
    <row r="45" spans="1:17" ht="23.25" customHeight="1">
      <c r="A45" s="18"/>
      <c r="B45" s="154" t="s">
        <v>86</v>
      </c>
      <c r="C45" s="104"/>
      <c r="D45" s="170"/>
      <c r="E45" s="170"/>
      <c r="F45" s="108"/>
      <c r="G45" s="109"/>
      <c r="H45" s="109"/>
    </row>
    <row r="46" spans="1:17" ht="26.25" customHeight="1">
      <c r="A46" s="155" t="s">
        <v>95</v>
      </c>
      <c r="B46" s="128" t="s">
        <v>90</v>
      </c>
      <c r="C46" s="107">
        <v>1010</v>
      </c>
      <c r="D46" s="108">
        <f>D47+D48</f>
        <v>1776</v>
      </c>
      <c r="E46" s="108">
        <f>E47+E48</f>
        <v>0</v>
      </c>
      <c r="F46" s="108">
        <f>F47+F48</f>
        <v>0</v>
      </c>
      <c r="G46" s="113">
        <f t="shared" si="6"/>
        <v>0</v>
      </c>
      <c r="H46" s="176" t="e">
        <f t="shared" si="7"/>
        <v>#DIV/0!</v>
      </c>
    </row>
    <row r="47" spans="1:17" ht="27.75" customHeight="1">
      <c r="A47" s="157" t="s">
        <v>163</v>
      </c>
      <c r="B47" s="158" t="s">
        <v>2</v>
      </c>
      <c r="C47" s="166">
        <v>1012</v>
      </c>
      <c r="D47" s="160">
        <v>1385.3</v>
      </c>
      <c r="E47" s="160"/>
      <c r="F47" s="160"/>
      <c r="G47" s="161">
        <f t="shared" si="6"/>
        <v>0</v>
      </c>
      <c r="H47" s="167" t="e">
        <f t="shared" si="7"/>
        <v>#DIV/0!</v>
      </c>
    </row>
    <row r="48" spans="1:17" ht="27.75" customHeight="1">
      <c r="A48" s="157" t="s">
        <v>166</v>
      </c>
      <c r="B48" s="158" t="s">
        <v>3</v>
      </c>
      <c r="C48" s="166">
        <v>1013</v>
      </c>
      <c r="D48" s="160">
        <v>390.7</v>
      </c>
      <c r="E48" s="160"/>
      <c r="F48" s="160"/>
      <c r="G48" s="161">
        <f t="shared" si="6"/>
        <v>0</v>
      </c>
      <c r="H48" s="167" t="e">
        <f t="shared" si="7"/>
        <v>#DIV/0!</v>
      </c>
    </row>
    <row r="49" spans="1:8" ht="48.75" customHeight="1">
      <c r="A49" s="218" t="s">
        <v>105</v>
      </c>
      <c r="B49" s="219" t="s">
        <v>326</v>
      </c>
      <c r="C49" s="216"/>
      <c r="D49" s="213"/>
      <c r="E49" s="213">
        <f>E51</f>
        <v>441.4</v>
      </c>
      <c r="F49" s="248">
        <f>F51</f>
        <v>352.4</v>
      </c>
      <c r="G49" s="214">
        <f t="shared" si="6"/>
        <v>-89</v>
      </c>
      <c r="H49" s="220">
        <f t="shared" si="7"/>
        <v>79.836882646125957</v>
      </c>
    </row>
    <row r="50" spans="1:8" ht="22.5" customHeight="1">
      <c r="A50" s="157"/>
      <c r="B50" s="158" t="s">
        <v>86</v>
      </c>
      <c r="C50" s="166"/>
      <c r="D50" s="160"/>
      <c r="E50" s="160"/>
      <c r="F50" s="160"/>
      <c r="G50" s="161"/>
      <c r="H50" s="167" t="e">
        <f t="shared" si="7"/>
        <v>#DIV/0!</v>
      </c>
    </row>
    <row r="51" spans="1:8" ht="27.75" customHeight="1">
      <c r="A51" s="174" t="s">
        <v>313</v>
      </c>
      <c r="B51" s="180" t="s">
        <v>93</v>
      </c>
      <c r="C51" s="178">
        <v>1030</v>
      </c>
      <c r="D51" s="108"/>
      <c r="E51" s="108">
        <f>E52+E53</f>
        <v>441.4</v>
      </c>
      <c r="F51" s="108">
        <f>F52+F53</f>
        <v>352.4</v>
      </c>
      <c r="G51" s="161">
        <f t="shared" si="6"/>
        <v>-89</v>
      </c>
      <c r="H51" s="167">
        <f t="shared" si="7"/>
        <v>79.836882646125957</v>
      </c>
    </row>
    <row r="52" spans="1:8" ht="27.75" customHeight="1">
      <c r="A52" s="157" t="s">
        <v>182</v>
      </c>
      <c r="B52" s="158" t="s">
        <v>2</v>
      </c>
      <c r="C52" s="166">
        <v>1032</v>
      </c>
      <c r="D52" s="160"/>
      <c r="E52" s="160">
        <v>361.8</v>
      </c>
      <c r="F52" s="160">
        <v>293</v>
      </c>
      <c r="G52" s="161">
        <f t="shared" si="6"/>
        <v>-68.800000000000011</v>
      </c>
      <c r="H52" s="167">
        <f t="shared" si="7"/>
        <v>80.983969043670527</v>
      </c>
    </row>
    <row r="53" spans="1:8" ht="27.75" customHeight="1">
      <c r="A53" s="157" t="s">
        <v>321</v>
      </c>
      <c r="B53" s="158" t="s">
        <v>3</v>
      </c>
      <c r="C53" s="166">
        <v>1033</v>
      </c>
      <c r="D53" s="160"/>
      <c r="E53" s="160">
        <v>79.599999999999994</v>
      </c>
      <c r="F53" s="160">
        <v>59.4</v>
      </c>
      <c r="G53" s="161">
        <f t="shared" si="6"/>
        <v>-20.199999999999996</v>
      </c>
      <c r="H53" s="167">
        <f t="shared" si="7"/>
        <v>74.62311557788945</v>
      </c>
    </row>
    <row r="54" spans="1:8" ht="27.75" customHeight="1">
      <c r="A54" s="218" t="s">
        <v>106</v>
      </c>
      <c r="B54" s="219" t="s">
        <v>312</v>
      </c>
      <c r="C54" s="216"/>
      <c r="D54" s="213"/>
      <c r="E54" s="213">
        <f>E56+E89+E101</f>
        <v>781.5</v>
      </c>
      <c r="F54" s="248">
        <f>F56+F89+F101</f>
        <v>239.99999999999997</v>
      </c>
      <c r="G54" s="214">
        <f t="shared" si="6"/>
        <v>-541.5</v>
      </c>
      <c r="H54" s="220">
        <f t="shared" si="7"/>
        <v>30.710172744721685</v>
      </c>
    </row>
    <row r="55" spans="1:8" ht="25.5" customHeight="1">
      <c r="A55" s="157"/>
      <c r="B55" s="158" t="s">
        <v>86</v>
      </c>
      <c r="C55" s="166"/>
      <c r="D55" s="160"/>
      <c r="E55" s="160"/>
      <c r="F55" s="160"/>
      <c r="G55" s="161"/>
      <c r="H55" s="167"/>
    </row>
    <row r="56" spans="1:8" ht="27.75" customHeight="1">
      <c r="A56" s="157" t="s">
        <v>328</v>
      </c>
      <c r="B56" s="158" t="s">
        <v>90</v>
      </c>
      <c r="C56" s="166">
        <v>1010</v>
      </c>
      <c r="D56" s="160"/>
      <c r="E56" s="160">
        <f>E57+E64+E65+E67</f>
        <v>674.7</v>
      </c>
      <c r="F56" s="160">
        <f>F57+F64+F65+F67+F66</f>
        <v>216.29999999999998</v>
      </c>
      <c r="G56" s="161">
        <f t="shared" si="6"/>
        <v>-458.40000000000009</v>
      </c>
      <c r="H56" s="167">
        <f t="shared" si="7"/>
        <v>32.058692752334366</v>
      </c>
    </row>
    <row r="57" spans="1:8" ht="27.75" customHeight="1">
      <c r="A57" s="157" t="s">
        <v>187</v>
      </c>
      <c r="B57" s="158" t="s">
        <v>107</v>
      </c>
      <c r="C57" s="166">
        <v>1011</v>
      </c>
      <c r="D57" s="160"/>
      <c r="E57" s="160">
        <f>SUM(E58:E63)</f>
        <v>217</v>
      </c>
      <c r="F57" s="160">
        <f>SUM(F58:F63)</f>
        <v>39.9</v>
      </c>
      <c r="G57" s="161">
        <f t="shared" si="6"/>
        <v>-177.1</v>
      </c>
      <c r="H57" s="167">
        <f t="shared" si="7"/>
        <v>18.387096774193548</v>
      </c>
    </row>
    <row r="58" spans="1:8" ht="27.75" customHeight="1">
      <c r="A58" s="157"/>
      <c r="B58" s="111" t="s">
        <v>139</v>
      </c>
      <c r="C58" s="110"/>
      <c r="D58" s="112"/>
      <c r="E58" s="20">
        <v>55</v>
      </c>
      <c r="F58" s="20">
        <v>13.7</v>
      </c>
      <c r="G58" s="109">
        <f t="shared" si="6"/>
        <v>-41.3</v>
      </c>
      <c r="H58" s="167">
        <f t="shared" si="7"/>
        <v>24.90909090909091</v>
      </c>
    </row>
    <row r="59" spans="1:8" ht="27.75" customHeight="1">
      <c r="A59" s="157"/>
      <c r="B59" s="111" t="s">
        <v>140</v>
      </c>
      <c r="C59" s="110"/>
      <c r="D59" s="112"/>
      <c r="E59" s="20">
        <v>30</v>
      </c>
      <c r="F59" s="20">
        <v>5.9</v>
      </c>
      <c r="G59" s="109">
        <f t="shared" si="6"/>
        <v>-24.1</v>
      </c>
      <c r="H59" s="167">
        <f t="shared" si="7"/>
        <v>19.666666666666668</v>
      </c>
    </row>
    <row r="60" spans="1:8" ht="27.75" customHeight="1">
      <c r="A60" s="157"/>
      <c r="B60" s="111" t="s">
        <v>314</v>
      </c>
      <c r="C60" s="110"/>
      <c r="D60" s="112"/>
      <c r="E60" s="20">
        <v>40</v>
      </c>
      <c r="F60" s="20"/>
      <c r="G60" s="109">
        <f t="shared" si="6"/>
        <v>-40</v>
      </c>
      <c r="H60" s="167">
        <f t="shared" si="7"/>
        <v>0</v>
      </c>
    </row>
    <row r="61" spans="1:8" ht="27.75" customHeight="1">
      <c r="A61" s="157"/>
      <c r="B61" s="111" t="s">
        <v>315</v>
      </c>
      <c r="C61" s="110"/>
      <c r="D61" s="112"/>
      <c r="E61" s="20">
        <v>32.5</v>
      </c>
      <c r="F61" s="20"/>
      <c r="G61" s="109">
        <f t="shared" si="6"/>
        <v>-32.5</v>
      </c>
      <c r="H61" s="167">
        <f t="shared" si="7"/>
        <v>0</v>
      </c>
    </row>
    <row r="62" spans="1:8" ht="39" customHeight="1">
      <c r="A62" s="157"/>
      <c r="B62" s="111" t="s">
        <v>164</v>
      </c>
      <c r="C62" s="110"/>
      <c r="D62" s="112"/>
      <c r="E62" s="20">
        <v>52.5</v>
      </c>
      <c r="F62" s="20">
        <v>6.7</v>
      </c>
      <c r="G62" s="109">
        <f t="shared" si="6"/>
        <v>-45.8</v>
      </c>
      <c r="H62" s="167">
        <f t="shared" si="7"/>
        <v>12.761904761904763</v>
      </c>
    </row>
    <row r="63" spans="1:8" ht="25.5" customHeight="1">
      <c r="A63" s="157"/>
      <c r="B63" s="181" t="s">
        <v>165</v>
      </c>
      <c r="C63" s="110"/>
      <c r="D63" s="112"/>
      <c r="E63" s="20">
        <v>7</v>
      </c>
      <c r="F63" s="20">
        <v>13.6</v>
      </c>
      <c r="G63" s="109">
        <f t="shared" si="6"/>
        <v>6.6</v>
      </c>
      <c r="H63" s="167">
        <f t="shared" si="7"/>
        <v>194.28571428571428</v>
      </c>
    </row>
    <row r="64" spans="1:8" ht="25.5" customHeight="1">
      <c r="A64" s="157" t="s">
        <v>329</v>
      </c>
      <c r="B64" s="182" t="s">
        <v>2</v>
      </c>
      <c r="C64" s="166">
        <v>1012</v>
      </c>
      <c r="D64" s="160"/>
      <c r="E64" s="53">
        <v>107.7</v>
      </c>
      <c r="F64" s="53">
        <v>108.7</v>
      </c>
      <c r="G64" s="161">
        <f t="shared" si="6"/>
        <v>1</v>
      </c>
      <c r="H64" s="167">
        <f t="shared" si="7"/>
        <v>100.92850510677809</v>
      </c>
    </row>
    <row r="65" spans="1:8" ht="25.5" customHeight="1">
      <c r="A65" s="157" t="s">
        <v>330</v>
      </c>
      <c r="B65" s="182" t="s">
        <v>3</v>
      </c>
      <c r="C65" s="166">
        <v>1013</v>
      </c>
      <c r="D65" s="160"/>
      <c r="E65" s="53">
        <v>27.6</v>
      </c>
      <c r="F65" s="53">
        <v>23.9</v>
      </c>
      <c r="G65" s="161">
        <f t="shared" si="6"/>
        <v>-3.7000000000000028</v>
      </c>
      <c r="H65" s="167">
        <f t="shared" si="7"/>
        <v>86.594202898550705</v>
      </c>
    </row>
    <row r="66" spans="1:8" ht="25.5" customHeight="1">
      <c r="A66" s="157" t="s">
        <v>331</v>
      </c>
      <c r="B66" s="182" t="s">
        <v>4</v>
      </c>
      <c r="C66" s="166">
        <v>1014</v>
      </c>
      <c r="D66" s="160"/>
      <c r="E66" s="53">
        <v>0</v>
      </c>
      <c r="F66" s="53">
        <v>9.6999999999999993</v>
      </c>
      <c r="G66" s="161">
        <f t="shared" si="6"/>
        <v>9.6999999999999993</v>
      </c>
      <c r="H66" s="167" t="e">
        <f t="shared" si="7"/>
        <v>#DIV/0!</v>
      </c>
    </row>
    <row r="67" spans="1:8" ht="25.5" customHeight="1">
      <c r="A67" s="157" t="s">
        <v>362</v>
      </c>
      <c r="B67" s="183" t="s">
        <v>98</v>
      </c>
      <c r="C67" s="166">
        <v>1015</v>
      </c>
      <c r="D67" s="160"/>
      <c r="E67" s="53">
        <f>SUM(E68:E88)</f>
        <v>322.39999999999998</v>
      </c>
      <c r="F67" s="53">
        <f>SUM(F68:F88)</f>
        <v>34.1</v>
      </c>
      <c r="G67" s="161">
        <f t="shared" si="6"/>
        <v>-288.29999999999995</v>
      </c>
      <c r="H67" s="167">
        <f t="shared" si="7"/>
        <v>10.576923076923078</v>
      </c>
    </row>
    <row r="68" spans="1:8" ht="25.5" customHeight="1">
      <c r="A68" s="174"/>
      <c r="B68" s="116" t="s">
        <v>147</v>
      </c>
      <c r="C68" s="110"/>
      <c r="D68" s="112"/>
      <c r="E68" s="20">
        <v>6.3</v>
      </c>
      <c r="F68" s="20"/>
      <c r="G68" s="109">
        <f t="shared" si="6"/>
        <v>-6.3</v>
      </c>
      <c r="H68" s="167">
        <f t="shared" si="7"/>
        <v>0</v>
      </c>
    </row>
    <row r="69" spans="1:8" ht="25.5" customHeight="1">
      <c r="A69" s="174"/>
      <c r="B69" s="116" t="s">
        <v>148</v>
      </c>
      <c r="C69" s="110"/>
      <c r="D69" s="112"/>
      <c r="E69" s="20">
        <v>6.3</v>
      </c>
      <c r="F69" s="20"/>
      <c r="G69" s="109">
        <f t="shared" si="6"/>
        <v>-6.3</v>
      </c>
      <c r="H69" s="167">
        <f t="shared" si="7"/>
        <v>0</v>
      </c>
    </row>
    <row r="70" spans="1:8" ht="25.5" customHeight="1">
      <c r="A70" s="174"/>
      <c r="B70" s="116" t="s">
        <v>151</v>
      </c>
      <c r="C70" s="110"/>
      <c r="D70" s="112"/>
      <c r="E70" s="20">
        <v>6</v>
      </c>
      <c r="F70" s="20"/>
      <c r="G70" s="109">
        <f t="shared" si="6"/>
        <v>-6</v>
      </c>
      <c r="H70" s="167">
        <f t="shared" si="7"/>
        <v>0</v>
      </c>
    </row>
    <row r="71" spans="1:8" ht="25.5" customHeight="1">
      <c r="A71" s="174"/>
      <c r="B71" s="116" t="s">
        <v>152</v>
      </c>
      <c r="C71" s="110"/>
      <c r="D71" s="112"/>
      <c r="E71" s="20">
        <v>30</v>
      </c>
      <c r="F71" s="20">
        <v>4.8</v>
      </c>
      <c r="G71" s="109">
        <f t="shared" si="6"/>
        <v>-25.2</v>
      </c>
      <c r="H71" s="167">
        <f t="shared" si="7"/>
        <v>16</v>
      </c>
    </row>
    <row r="72" spans="1:8" ht="25.5" customHeight="1">
      <c r="A72" s="174"/>
      <c r="B72" s="116" t="s">
        <v>316</v>
      </c>
      <c r="C72" s="110"/>
      <c r="D72" s="112"/>
      <c r="E72" s="20">
        <v>6.3</v>
      </c>
      <c r="F72" s="20">
        <v>4.5</v>
      </c>
      <c r="G72" s="109">
        <f t="shared" si="6"/>
        <v>-1.7999999999999998</v>
      </c>
      <c r="H72" s="167">
        <f t="shared" si="7"/>
        <v>71.428571428571431</v>
      </c>
    </row>
    <row r="73" spans="1:8" ht="25.5" customHeight="1">
      <c r="A73" s="174"/>
      <c r="B73" s="116" t="s">
        <v>167</v>
      </c>
      <c r="C73" s="110"/>
      <c r="D73" s="112"/>
      <c r="E73" s="20">
        <v>0.8</v>
      </c>
      <c r="F73" s="20"/>
      <c r="G73" s="109">
        <f t="shared" si="6"/>
        <v>-0.8</v>
      </c>
      <c r="H73" s="167">
        <f t="shared" si="7"/>
        <v>0</v>
      </c>
    </row>
    <row r="74" spans="1:8" ht="25.5" customHeight="1">
      <c r="A74" s="174"/>
      <c r="B74" s="116" t="s">
        <v>168</v>
      </c>
      <c r="C74" s="110"/>
      <c r="D74" s="112"/>
      <c r="E74" s="20">
        <v>10</v>
      </c>
      <c r="F74" s="20"/>
      <c r="G74" s="109">
        <f t="shared" si="6"/>
        <v>-10</v>
      </c>
      <c r="H74" s="167">
        <f t="shared" si="7"/>
        <v>0</v>
      </c>
    </row>
    <row r="75" spans="1:8" ht="25.5" customHeight="1">
      <c r="A75" s="174"/>
      <c r="B75" s="116" t="s">
        <v>154</v>
      </c>
      <c r="C75" s="110"/>
      <c r="D75" s="112"/>
      <c r="E75" s="20">
        <v>8.6999999999999993</v>
      </c>
      <c r="F75" s="20">
        <v>15.5</v>
      </c>
      <c r="G75" s="109">
        <f t="shared" si="6"/>
        <v>6.8000000000000007</v>
      </c>
      <c r="H75" s="167">
        <f t="shared" si="7"/>
        <v>178.16091954022991</v>
      </c>
    </row>
    <row r="76" spans="1:8" ht="25.5" customHeight="1">
      <c r="A76" s="174"/>
      <c r="B76" s="116" t="s">
        <v>169</v>
      </c>
      <c r="C76" s="110"/>
      <c r="D76" s="112"/>
      <c r="E76" s="20">
        <v>37.5</v>
      </c>
      <c r="F76" s="20"/>
      <c r="G76" s="109">
        <f t="shared" si="6"/>
        <v>-37.5</v>
      </c>
      <c r="H76" s="167">
        <f t="shared" si="7"/>
        <v>0</v>
      </c>
    </row>
    <row r="77" spans="1:8" ht="25.5" customHeight="1">
      <c r="A77" s="174"/>
      <c r="B77" s="116" t="s">
        <v>247</v>
      </c>
      <c r="C77" s="110"/>
      <c r="D77" s="112"/>
      <c r="E77" s="20">
        <v>3.8</v>
      </c>
      <c r="F77" s="20"/>
      <c r="G77" s="109">
        <f t="shared" ref="G77:G140" si="22">F77-E77</f>
        <v>-3.8</v>
      </c>
      <c r="H77" s="167">
        <f t="shared" ref="H77:H140" si="23">(F77/E77)*100</f>
        <v>0</v>
      </c>
    </row>
    <row r="78" spans="1:8" ht="25.5" customHeight="1">
      <c r="A78" s="174"/>
      <c r="B78" s="116" t="s">
        <v>153</v>
      </c>
      <c r="C78" s="110"/>
      <c r="D78" s="112"/>
      <c r="E78" s="20">
        <v>7.5</v>
      </c>
      <c r="F78" s="20"/>
      <c r="G78" s="109">
        <f t="shared" si="22"/>
        <v>-7.5</v>
      </c>
      <c r="H78" s="167">
        <f t="shared" si="23"/>
        <v>0</v>
      </c>
    </row>
    <row r="79" spans="1:8" ht="25.5" customHeight="1">
      <c r="A79" s="174"/>
      <c r="B79" s="184" t="s">
        <v>317</v>
      </c>
      <c r="C79" s="110"/>
      <c r="D79" s="112"/>
      <c r="E79" s="20">
        <v>37.5</v>
      </c>
      <c r="F79" s="20"/>
      <c r="G79" s="109">
        <f t="shared" si="22"/>
        <v>-37.5</v>
      </c>
      <c r="H79" s="167">
        <f t="shared" si="23"/>
        <v>0</v>
      </c>
    </row>
    <row r="80" spans="1:8" ht="25.5" customHeight="1">
      <c r="A80" s="174"/>
      <c r="B80" s="181" t="s">
        <v>155</v>
      </c>
      <c r="C80" s="110"/>
      <c r="D80" s="112"/>
      <c r="E80" s="20">
        <v>7.6</v>
      </c>
      <c r="F80" s="20"/>
      <c r="G80" s="109">
        <f t="shared" si="22"/>
        <v>-7.6</v>
      </c>
      <c r="H80" s="167">
        <f t="shared" si="23"/>
        <v>0</v>
      </c>
    </row>
    <row r="81" spans="1:8" ht="27.75" customHeight="1">
      <c r="A81" s="174"/>
      <c r="B81" s="111" t="s">
        <v>171</v>
      </c>
      <c r="C81" s="110"/>
      <c r="D81" s="112"/>
      <c r="E81" s="20">
        <v>8.8000000000000007</v>
      </c>
      <c r="F81" s="20"/>
      <c r="G81" s="109">
        <f t="shared" si="22"/>
        <v>-8.8000000000000007</v>
      </c>
      <c r="H81" s="167">
        <f t="shared" si="23"/>
        <v>0</v>
      </c>
    </row>
    <row r="82" spans="1:8" ht="27.75" customHeight="1">
      <c r="A82" s="174"/>
      <c r="B82" s="111" t="s">
        <v>172</v>
      </c>
      <c r="C82" s="110"/>
      <c r="D82" s="112"/>
      <c r="E82" s="20">
        <v>2</v>
      </c>
      <c r="F82" s="20"/>
      <c r="G82" s="109">
        <f t="shared" si="22"/>
        <v>-2</v>
      </c>
      <c r="H82" s="167">
        <f t="shared" si="23"/>
        <v>0</v>
      </c>
    </row>
    <row r="83" spans="1:8" ht="27.75" customHeight="1">
      <c r="A83" s="174"/>
      <c r="B83" s="111" t="s">
        <v>322</v>
      </c>
      <c r="C83" s="110"/>
      <c r="D83" s="112"/>
      <c r="E83" s="20"/>
      <c r="F83" s="20">
        <v>1.5</v>
      </c>
      <c r="G83" s="109">
        <f t="shared" si="22"/>
        <v>1.5</v>
      </c>
      <c r="H83" s="167" t="e">
        <f t="shared" si="23"/>
        <v>#DIV/0!</v>
      </c>
    </row>
    <row r="84" spans="1:8" ht="27.75" customHeight="1">
      <c r="A84" s="174"/>
      <c r="B84" s="111" t="s">
        <v>249</v>
      </c>
      <c r="C84" s="110"/>
      <c r="D84" s="112"/>
      <c r="E84" s="20"/>
      <c r="F84" s="20">
        <v>1.4</v>
      </c>
      <c r="G84" s="109">
        <f t="shared" si="22"/>
        <v>1.4</v>
      </c>
      <c r="H84" s="167" t="e">
        <f t="shared" si="23"/>
        <v>#DIV/0!</v>
      </c>
    </row>
    <row r="85" spans="1:8" ht="27.75" customHeight="1">
      <c r="A85" s="174"/>
      <c r="B85" s="184" t="s">
        <v>175</v>
      </c>
      <c r="C85" s="110"/>
      <c r="D85" s="112"/>
      <c r="E85" s="20">
        <v>103.3</v>
      </c>
      <c r="F85" s="20"/>
      <c r="G85" s="109">
        <f t="shared" si="22"/>
        <v>-103.3</v>
      </c>
      <c r="H85" s="167">
        <f t="shared" si="23"/>
        <v>0</v>
      </c>
    </row>
    <row r="86" spans="1:8" ht="27.75" customHeight="1">
      <c r="A86" s="174"/>
      <c r="B86" s="185" t="s">
        <v>176</v>
      </c>
      <c r="C86" s="110"/>
      <c r="D86" s="112"/>
      <c r="E86" s="20">
        <v>4.4000000000000004</v>
      </c>
      <c r="F86" s="20">
        <v>1.5</v>
      </c>
      <c r="G86" s="109">
        <f t="shared" si="22"/>
        <v>-2.9000000000000004</v>
      </c>
      <c r="H86" s="167">
        <f t="shared" si="23"/>
        <v>34.090909090909086</v>
      </c>
    </row>
    <row r="87" spans="1:8" ht="27.75" customHeight="1">
      <c r="A87" s="174"/>
      <c r="B87" s="124" t="s">
        <v>177</v>
      </c>
      <c r="C87" s="110"/>
      <c r="D87" s="112"/>
      <c r="E87" s="20">
        <v>33.299999999999997</v>
      </c>
      <c r="F87" s="20">
        <v>4.9000000000000004</v>
      </c>
      <c r="G87" s="109">
        <f t="shared" si="22"/>
        <v>-28.4</v>
      </c>
      <c r="H87" s="167">
        <f t="shared" si="23"/>
        <v>14.714714714714717</v>
      </c>
    </row>
    <row r="88" spans="1:8" ht="27.75" customHeight="1">
      <c r="A88" s="174"/>
      <c r="B88" s="185" t="s">
        <v>178</v>
      </c>
      <c r="C88" s="166"/>
      <c r="D88" s="160"/>
      <c r="E88" s="20">
        <v>2.2999999999999998</v>
      </c>
      <c r="F88" s="53"/>
      <c r="G88" s="161">
        <f t="shared" si="22"/>
        <v>-2.2999999999999998</v>
      </c>
      <c r="H88" s="167">
        <f t="shared" si="23"/>
        <v>0</v>
      </c>
    </row>
    <row r="89" spans="1:8" ht="27.75" customHeight="1">
      <c r="A89" s="174" t="s">
        <v>332</v>
      </c>
      <c r="B89" s="186" t="s">
        <v>92</v>
      </c>
      <c r="C89" s="187">
        <v>1020</v>
      </c>
      <c r="D89" s="160"/>
      <c r="E89" s="53">
        <f>E90+E93</f>
        <v>78.800000000000011</v>
      </c>
      <c r="F89" s="53">
        <f>F90+F93</f>
        <v>23.7</v>
      </c>
      <c r="G89" s="161">
        <f t="shared" si="22"/>
        <v>-55.100000000000009</v>
      </c>
      <c r="H89" s="167">
        <f t="shared" si="23"/>
        <v>30.076142131979687</v>
      </c>
    </row>
    <row r="90" spans="1:8" ht="27.75" customHeight="1">
      <c r="A90" s="157" t="s">
        <v>333</v>
      </c>
      <c r="B90" s="188" t="s">
        <v>107</v>
      </c>
      <c r="C90" s="159">
        <v>1021</v>
      </c>
      <c r="D90" s="160"/>
      <c r="E90" s="53">
        <f>E91+E92</f>
        <v>17.5</v>
      </c>
      <c r="F90" s="53">
        <f>F91+F92</f>
        <v>3.6999999999999997</v>
      </c>
      <c r="G90" s="161">
        <f t="shared" si="22"/>
        <v>-13.8</v>
      </c>
      <c r="H90" s="167">
        <f t="shared" si="23"/>
        <v>21.142857142857142</v>
      </c>
    </row>
    <row r="91" spans="1:8" ht="40.5" customHeight="1">
      <c r="A91" s="157"/>
      <c r="B91" s="111" t="s">
        <v>164</v>
      </c>
      <c r="C91" s="163"/>
      <c r="D91" s="160"/>
      <c r="E91" s="20">
        <v>10</v>
      </c>
      <c r="F91" s="20">
        <v>0.3</v>
      </c>
      <c r="G91" s="161">
        <f t="shared" si="22"/>
        <v>-9.6999999999999993</v>
      </c>
      <c r="H91" s="167">
        <f t="shared" si="23"/>
        <v>3</v>
      </c>
    </row>
    <row r="92" spans="1:8" ht="27.75" customHeight="1">
      <c r="A92" s="157"/>
      <c r="B92" s="116" t="s">
        <v>165</v>
      </c>
      <c r="C92" s="163"/>
      <c r="D92" s="160"/>
      <c r="E92" s="20">
        <v>7.5</v>
      </c>
      <c r="F92" s="20">
        <v>3.4</v>
      </c>
      <c r="G92" s="161">
        <f t="shared" si="22"/>
        <v>-4.0999999999999996</v>
      </c>
      <c r="H92" s="167">
        <f t="shared" si="23"/>
        <v>45.333333333333329</v>
      </c>
    </row>
    <row r="93" spans="1:8" ht="27.75" customHeight="1">
      <c r="A93" s="157" t="s">
        <v>334</v>
      </c>
      <c r="B93" s="183" t="s">
        <v>180</v>
      </c>
      <c r="C93" s="159">
        <v>1025</v>
      </c>
      <c r="D93" s="160"/>
      <c r="E93" s="53">
        <f>SUM(E94:E100)</f>
        <v>61.300000000000004</v>
      </c>
      <c r="F93" s="53">
        <f>SUM(F94:F100)</f>
        <v>20</v>
      </c>
      <c r="G93" s="161">
        <f t="shared" si="22"/>
        <v>-41.300000000000004</v>
      </c>
      <c r="H93" s="167">
        <f t="shared" si="23"/>
        <v>32.626427406199021</v>
      </c>
    </row>
    <row r="94" spans="1:8" ht="27.75" customHeight="1">
      <c r="A94" s="174"/>
      <c r="B94" s="123" t="s">
        <v>155</v>
      </c>
      <c r="C94" s="163"/>
      <c r="D94" s="160"/>
      <c r="E94" s="20">
        <v>1.9</v>
      </c>
      <c r="F94" s="20">
        <v>12.6</v>
      </c>
      <c r="G94" s="161">
        <f t="shared" si="22"/>
        <v>10.7</v>
      </c>
      <c r="H94" s="167">
        <f t="shared" si="23"/>
        <v>663.15789473684208</v>
      </c>
    </row>
    <row r="95" spans="1:8" ht="27.75" customHeight="1">
      <c r="A95" s="174"/>
      <c r="B95" s="116" t="s">
        <v>169</v>
      </c>
      <c r="C95" s="163"/>
      <c r="D95" s="160"/>
      <c r="E95" s="20">
        <v>7.5</v>
      </c>
      <c r="F95" s="53"/>
      <c r="G95" s="161">
        <f t="shared" si="22"/>
        <v>-7.5</v>
      </c>
      <c r="H95" s="167">
        <f t="shared" si="23"/>
        <v>0</v>
      </c>
    </row>
    <row r="96" spans="1:8" ht="27.75" customHeight="1">
      <c r="A96" s="174"/>
      <c r="B96" s="116" t="s">
        <v>160</v>
      </c>
      <c r="C96" s="163"/>
      <c r="D96" s="160"/>
      <c r="E96" s="112">
        <v>1.2</v>
      </c>
      <c r="F96" s="112">
        <v>3.8</v>
      </c>
      <c r="G96" s="161">
        <f t="shared" si="22"/>
        <v>2.5999999999999996</v>
      </c>
      <c r="H96" s="167">
        <f t="shared" si="23"/>
        <v>316.66666666666663</v>
      </c>
    </row>
    <row r="97" spans="1:8" ht="27.75" customHeight="1">
      <c r="A97" s="174"/>
      <c r="B97" s="111" t="s">
        <v>171</v>
      </c>
      <c r="C97" s="163"/>
      <c r="D97" s="160"/>
      <c r="E97" s="112"/>
      <c r="F97" s="112">
        <v>1.3</v>
      </c>
      <c r="G97" s="161">
        <f t="shared" si="22"/>
        <v>1.3</v>
      </c>
      <c r="H97" s="167" t="e">
        <f t="shared" si="23"/>
        <v>#DIV/0!</v>
      </c>
    </row>
    <row r="98" spans="1:8" ht="27.75" customHeight="1">
      <c r="A98" s="174"/>
      <c r="B98" s="116" t="s">
        <v>318</v>
      </c>
      <c r="C98" s="163"/>
      <c r="D98" s="160"/>
      <c r="E98" s="112">
        <v>50</v>
      </c>
      <c r="F98" s="160"/>
      <c r="G98" s="161">
        <f t="shared" si="22"/>
        <v>-50</v>
      </c>
      <c r="H98" s="167">
        <f t="shared" si="23"/>
        <v>0</v>
      </c>
    </row>
    <row r="99" spans="1:8" ht="27.75" customHeight="1">
      <c r="A99" s="174"/>
      <c r="B99" s="116" t="s">
        <v>323</v>
      </c>
      <c r="C99" s="163"/>
      <c r="D99" s="160"/>
      <c r="E99" s="112"/>
      <c r="F99" s="112">
        <v>1.8</v>
      </c>
      <c r="G99" s="161">
        <f t="shared" si="22"/>
        <v>1.8</v>
      </c>
      <c r="H99" s="167" t="e">
        <f t="shared" si="23"/>
        <v>#DIV/0!</v>
      </c>
    </row>
    <row r="100" spans="1:8" ht="27.75" customHeight="1">
      <c r="A100" s="174"/>
      <c r="B100" s="116" t="s">
        <v>319</v>
      </c>
      <c r="C100" s="163"/>
      <c r="D100" s="160"/>
      <c r="E100" s="112">
        <v>0.7</v>
      </c>
      <c r="F100" s="112">
        <v>0.5</v>
      </c>
      <c r="G100" s="161">
        <f t="shared" si="22"/>
        <v>-0.19999999999999996</v>
      </c>
      <c r="H100" s="167">
        <f t="shared" si="23"/>
        <v>71.428571428571431</v>
      </c>
    </row>
    <row r="101" spans="1:8" ht="27.75" customHeight="1">
      <c r="A101" s="174" t="s">
        <v>335</v>
      </c>
      <c r="B101" s="189" t="s">
        <v>93</v>
      </c>
      <c r="C101" s="187">
        <v>1030</v>
      </c>
      <c r="D101" s="160"/>
      <c r="E101" s="160">
        <f>E102</f>
        <v>28</v>
      </c>
      <c r="F101" s="160"/>
      <c r="G101" s="161">
        <f t="shared" si="22"/>
        <v>-28</v>
      </c>
      <c r="H101" s="167">
        <f t="shared" si="23"/>
        <v>0</v>
      </c>
    </row>
    <row r="102" spans="1:8" ht="27.75" customHeight="1">
      <c r="A102" s="162" t="s">
        <v>336</v>
      </c>
      <c r="B102" s="190" t="s">
        <v>93</v>
      </c>
      <c r="C102" s="191">
        <v>1035</v>
      </c>
      <c r="D102" s="170"/>
      <c r="E102" s="170">
        <f>E103+E104</f>
        <v>28</v>
      </c>
      <c r="F102" s="160"/>
      <c r="G102" s="161">
        <f t="shared" si="22"/>
        <v>-28</v>
      </c>
      <c r="H102" s="167">
        <f t="shared" si="23"/>
        <v>0</v>
      </c>
    </row>
    <row r="103" spans="1:8" ht="27.75" customHeight="1">
      <c r="A103" s="174"/>
      <c r="B103" s="192" t="s">
        <v>189</v>
      </c>
      <c r="C103" s="163"/>
      <c r="D103" s="160"/>
      <c r="E103" s="112">
        <v>25</v>
      </c>
      <c r="F103" s="160"/>
      <c r="G103" s="161">
        <f t="shared" si="22"/>
        <v>-25</v>
      </c>
      <c r="H103" s="167">
        <f t="shared" si="23"/>
        <v>0</v>
      </c>
    </row>
    <row r="104" spans="1:8" ht="27.75" customHeight="1">
      <c r="A104" s="174"/>
      <c r="B104" s="192" t="s">
        <v>320</v>
      </c>
      <c r="C104" s="163"/>
      <c r="D104" s="160"/>
      <c r="E104" s="112">
        <v>3</v>
      </c>
      <c r="F104" s="160"/>
      <c r="G104" s="161">
        <f t="shared" si="22"/>
        <v>-3</v>
      </c>
      <c r="H104" s="167">
        <f t="shared" si="23"/>
        <v>0</v>
      </c>
    </row>
    <row r="105" spans="1:8" ht="41.25" customHeight="1">
      <c r="A105" s="218" t="s">
        <v>240</v>
      </c>
      <c r="B105" s="219" t="s">
        <v>266</v>
      </c>
      <c r="C105" s="216"/>
      <c r="D105" s="213">
        <f>D107</f>
        <v>120.29999999999998</v>
      </c>
      <c r="E105" s="213">
        <f>E107</f>
        <v>0</v>
      </c>
      <c r="F105" s="213"/>
      <c r="G105" s="214">
        <f t="shared" si="22"/>
        <v>0</v>
      </c>
      <c r="H105" s="220" t="e">
        <f t="shared" si="23"/>
        <v>#DIV/0!</v>
      </c>
    </row>
    <row r="106" spans="1:8" ht="23.25" customHeight="1">
      <c r="A106" s="157"/>
      <c r="B106" s="193" t="s">
        <v>86</v>
      </c>
      <c r="C106" s="166"/>
      <c r="D106" s="160"/>
      <c r="E106" s="160"/>
      <c r="F106" s="160"/>
      <c r="G106" s="161"/>
      <c r="H106" s="167"/>
    </row>
    <row r="107" spans="1:8" ht="27" customHeight="1">
      <c r="A107" s="174" t="s">
        <v>260</v>
      </c>
      <c r="B107" s="180" t="s">
        <v>90</v>
      </c>
      <c r="C107" s="178">
        <v>1010</v>
      </c>
      <c r="D107" s="108">
        <f>D108+D114</f>
        <v>120.29999999999998</v>
      </c>
      <c r="E107" s="108">
        <f>E108+E114</f>
        <v>0</v>
      </c>
      <c r="F107" s="108">
        <f>F108+F114</f>
        <v>0</v>
      </c>
      <c r="G107" s="113">
        <f t="shared" si="22"/>
        <v>0</v>
      </c>
      <c r="H107" s="176" t="e">
        <f t="shared" si="23"/>
        <v>#DIV/0!</v>
      </c>
    </row>
    <row r="108" spans="1:8" ht="25.5" customHeight="1">
      <c r="A108" s="157" t="s">
        <v>261</v>
      </c>
      <c r="B108" s="158" t="s">
        <v>107</v>
      </c>
      <c r="C108" s="166">
        <v>1011</v>
      </c>
      <c r="D108" s="160">
        <f>SUM(D109:D113)</f>
        <v>90.399999999999991</v>
      </c>
      <c r="E108" s="160">
        <f>SUM(E109:E113)</f>
        <v>0</v>
      </c>
      <c r="F108" s="160">
        <f>SUM(F109:F113)</f>
        <v>0</v>
      </c>
      <c r="G108" s="161">
        <f t="shared" si="22"/>
        <v>0</v>
      </c>
      <c r="H108" s="167" t="e">
        <f t="shared" si="23"/>
        <v>#DIV/0!</v>
      </c>
    </row>
    <row r="109" spans="1:8" ht="23.25" customHeight="1">
      <c r="A109" s="157"/>
      <c r="B109" s="111" t="s">
        <v>139</v>
      </c>
      <c r="C109" s="166"/>
      <c r="D109" s="160">
        <v>43.4</v>
      </c>
      <c r="E109" s="160"/>
      <c r="F109" s="112"/>
      <c r="G109" s="161">
        <f t="shared" si="22"/>
        <v>0</v>
      </c>
      <c r="H109" s="167" t="e">
        <f t="shared" si="23"/>
        <v>#DIV/0!</v>
      </c>
    </row>
    <row r="110" spans="1:8" ht="23.25" customHeight="1">
      <c r="A110" s="157"/>
      <c r="B110" s="111" t="s">
        <v>140</v>
      </c>
      <c r="C110" s="166"/>
      <c r="D110" s="160">
        <v>20.7</v>
      </c>
      <c r="E110" s="160"/>
      <c r="F110" s="112"/>
      <c r="G110" s="161">
        <f t="shared" si="22"/>
        <v>0</v>
      </c>
      <c r="H110" s="167" t="e">
        <f t="shared" si="23"/>
        <v>#DIV/0!</v>
      </c>
    </row>
    <row r="111" spans="1:8" ht="23.25" customHeight="1">
      <c r="A111" s="157"/>
      <c r="B111" s="111" t="s">
        <v>245</v>
      </c>
      <c r="C111" s="166"/>
      <c r="D111" s="160">
        <v>6.8</v>
      </c>
      <c r="E111" s="160"/>
      <c r="F111" s="112"/>
      <c r="G111" s="161">
        <f t="shared" si="22"/>
        <v>0</v>
      </c>
      <c r="H111" s="167" t="e">
        <f t="shared" si="23"/>
        <v>#DIV/0!</v>
      </c>
    </row>
    <row r="112" spans="1:8" ht="39.75" customHeight="1">
      <c r="A112" s="157"/>
      <c r="B112" s="111" t="s">
        <v>164</v>
      </c>
      <c r="C112" s="166"/>
      <c r="D112" s="160">
        <v>14.5</v>
      </c>
      <c r="E112" s="160"/>
      <c r="F112" s="112"/>
      <c r="G112" s="161">
        <f t="shared" si="22"/>
        <v>0</v>
      </c>
      <c r="H112" s="167" t="e">
        <f t="shared" si="23"/>
        <v>#DIV/0!</v>
      </c>
    </row>
    <row r="113" spans="1:8" ht="28.5" customHeight="1">
      <c r="A113" s="157"/>
      <c r="B113" s="111" t="s">
        <v>165</v>
      </c>
      <c r="C113" s="166"/>
      <c r="D113" s="160">
        <v>5</v>
      </c>
      <c r="E113" s="160"/>
      <c r="F113" s="112"/>
      <c r="G113" s="161">
        <f t="shared" si="22"/>
        <v>0</v>
      </c>
      <c r="H113" s="167" t="e">
        <f t="shared" si="23"/>
        <v>#DIV/0!</v>
      </c>
    </row>
    <row r="114" spans="1:8" ht="23.25" customHeight="1">
      <c r="A114" s="157" t="s">
        <v>337</v>
      </c>
      <c r="B114" s="194" t="s">
        <v>98</v>
      </c>
      <c r="C114" s="195">
        <v>1015</v>
      </c>
      <c r="D114" s="160">
        <f>SUM(D115:D116)</f>
        <v>29.9</v>
      </c>
      <c r="E114" s="160">
        <f>SUM(E115:E116)</f>
        <v>0</v>
      </c>
      <c r="F114" s="160">
        <f>SUM(F115:F116)</f>
        <v>0</v>
      </c>
      <c r="G114" s="161">
        <f t="shared" si="22"/>
        <v>0</v>
      </c>
      <c r="H114" s="167" t="e">
        <f t="shared" si="23"/>
        <v>#DIV/0!</v>
      </c>
    </row>
    <row r="115" spans="1:8" ht="23.25" customHeight="1">
      <c r="A115" s="157"/>
      <c r="B115" s="111" t="s">
        <v>152</v>
      </c>
      <c r="C115" s="110"/>
      <c r="D115" s="112">
        <v>25.8</v>
      </c>
      <c r="E115" s="112"/>
      <c r="F115" s="112"/>
      <c r="G115" s="161">
        <f t="shared" si="22"/>
        <v>0</v>
      </c>
      <c r="H115" s="167" t="e">
        <f t="shared" si="23"/>
        <v>#DIV/0!</v>
      </c>
    </row>
    <row r="116" spans="1:8" ht="23.25" customHeight="1">
      <c r="A116" s="157"/>
      <c r="B116" s="111" t="s">
        <v>171</v>
      </c>
      <c r="C116" s="110"/>
      <c r="D116" s="112">
        <v>4.0999999999999996</v>
      </c>
      <c r="E116" s="112"/>
      <c r="F116" s="112"/>
      <c r="G116" s="161">
        <f t="shared" si="22"/>
        <v>0</v>
      </c>
      <c r="H116" s="167" t="e">
        <f t="shared" si="23"/>
        <v>#DIV/0!</v>
      </c>
    </row>
    <row r="117" spans="1:8" ht="44.25" customHeight="1">
      <c r="A117" s="215" t="s">
        <v>262</v>
      </c>
      <c r="B117" s="219" t="s">
        <v>251</v>
      </c>
      <c r="C117" s="211"/>
      <c r="D117" s="213">
        <f>D119+D133+D142</f>
        <v>211.5</v>
      </c>
      <c r="E117" s="213">
        <f>E119+E133+E142</f>
        <v>0</v>
      </c>
      <c r="F117" s="213">
        <f>F119+F133+F142</f>
        <v>0</v>
      </c>
      <c r="G117" s="214">
        <f t="shared" si="22"/>
        <v>0</v>
      </c>
      <c r="H117" s="214" t="e">
        <f t="shared" si="23"/>
        <v>#DIV/0!</v>
      </c>
    </row>
    <row r="118" spans="1:8" ht="27" customHeight="1">
      <c r="A118" s="18"/>
      <c r="B118" s="154" t="s">
        <v>86</v>
      </c>
      <c r="C118" s="104"/>
      <c r="D118" s="112"/>
      <c r="E118" s="112"/>
      <c r="F118" s="112"/>
      <c r="G118" s="113"/>
      <c r="H118" s="113"/>
    </row>
    <row r="119" spans="1:8" ht="26.25" customHeight="1">
      <c r="A119" s="155" t="s">
        <v>338</v>
      </c>
      <c r="B119" s="128" t="s">
        <v>90</v>
      </c>
      <c r="C119" s="107">
        <v>1010</v>
      </c>
      <c r="D119" s="108">
        <f>D120+D121+D122+D123</f>
        <v>178.1</v>
      </c>
      <c r="E119" s="108">
        <f>E120+E121+E122+E123</f>
        <v>0</v>
      </c>
      <c r="F119" s="108">
        <f>F120+F121+F122+F123</f>
        <v>0</v>
      </c>
      <c r="G119" s="113">
        <f t="shared" si="22"/>
        <v>0</v>
      </c>
      <c r="H119" s="176" t="e">
        <f t="shared" si="23"/>
        <v>#DIV/0!</v>
      </c>
    </row>
    <row r="120" spans="1:8" ht="28.5" customHeight="1">
      <c r="A120" s="157" t="s">
        <v>339</v>
      </c>
      <c r="B120" s="196" t="s">
        <v>2</v>
      </c>
      <c r="C120" s="159">
        <v>1012</v>
      </c>
      <c r="D120" s="160">
        <v>119.2</v>
      </c>
      <c r="E120" s="160"/>
      <c r="F120" s="160"/>
      <c r="G120" s="161">
        <f t="shared" si="22"/>
        <v>0</v>
      </c>
      <c r="H120" s="167" t="e">
        <f t="shared" si="23"/>
        <v>#DIV/0!</v>
      </c>
    </row>
    <row r="121" spans="1:8" ht="25.5" customHeight="1">
      <c r="A121" s="157" t="s">
        <v>340</v>
      </c>
      <c r="B121" s="196" t="s">
        <v>3</v>
      </c>
      <c r="C121" s="159">
        <v>1013</v>
      </c>
      <c r="D121" s="160">
        <v>24.9</v>
      </c>
      <c r="E121" s="160"/>
      <c r="F121" s="160"/>
      <c r="G121" s="161">
        <f t="shared" si="22"/>
        <v>0</v>
      </c>
      <c r="H121" s="167" t="e">
        <f t="shared" si="23"/>
        <v>#DIV/0!</v>
      </c>
    </row>
    <row r="122" spans="1:8" ht="24.75" customHeight="1">
      <c r="A122" s="157" t="s">
        <v>341</v>
      </c>
      <c r="B122" s="196" t="s">
        <v>4</v>
      </c>
      <c r="C122" s="159">
        <v>1014</v>
      </c>
      <c r="D122" s="160">
        <v>10.9</v>
      </c>
      <c r="E122" s="160"/>
      <c r="F122" s="160"/>
      <c r="G122" s="161">
        <f t="shared" si="22"/>
        <v>0</v>
      </c>
      <c r="H122" s="167" t="e">
        <f t="shared" si="23"/>
        <v>#DIV/0!</v>
      </c>
    </row>
    <row r="123" spans="1:8" ht="24.75" customHeight="1">
      <c r="A123" s="157" t="s">
        <v>331</v>
      </c>
      <c r="B123" s="194" t="s">
        <v>98</v>
      </c>
      <c r="C123" s="195">
        <v>1015</v>
      </c>
      <c r="D123" s="160">
        <f>SUM(D124:D132)</f>
        <v>23.100000000000005</v>
      </c>
      <c r="E123" s="160">
        <f>SUM(E124:E132)</f>
        <v>0</v>
      </c>
      <c r="F123" s="160">
        <f>SUM(F124:F132)</f>
        <v>0</v>
      </c>
      <c r="G123" s="161">
        <f t="shared" si="22"/>
        <v>0</v>
      </c>
      <c r="H123" s="167" t="e">
        <f t="shared" si="23"/>
        <v>#DIV/0!</v>
      </c>
    </row>
    <row r="124" spans="1:8" ht="27" customHeight="1">
      <c r="A124" s="174"/>
      <c r="B124" s="121" t="s">
        <v>147</v>
      </c>
      <c r="C124" s="104"/>
      <c r="D124" s="112">
        <v>3.4</v>
      </c>
      <c r="E124" s="112"/>
      <c r="F124" s="112"/>
      <c r="G124" s="109">
        <f t="shared" si="22"/>
        <v>0</v>
      </c>
      <c r="H124" s="179" t="e">
        <f t="shared" si="23"/>
        <v>#DIV/0!</v>
      </c>
    </row>
    <row r="125" spans="1:8" ht="26.25" customHeight="1">
      <c r="A125" s="174"/>
      <c r="B125" s="121" t="s">
        <v>151</v>
      </c>
      <c r="C125" s="104"/>
      <c r="D125" s="112">
        <v>3</v>
      </c>
      <c r="E125" s="112"/>
      <c r="F125" s="112"/>
      <c r="G125" s="109">
        <f t="shared" si="22"/>
        <v>0</v>
      </c>
      <c r="H125" s="179" t="e">
        <f t="shared" si="23"/>
        <v>#DIV/0!</v>
      </c>
    </row>
    <row r="126" spans="1:8" ht="28.5" customHeight="1">
      <c r="A126" s="174"/>
      <c r="B126" s="121" t="s">
        <v>154</v>
      </c>
      <c r="C126" s="104"/>
      <c r="D126" s="112">
        <v>7.7</v>
      </c>
      <c r="E126" s="112"/>
      <c r="F126" s="112"/>
      <c r="G126" s="109">
        <f t="shared" si="22"/>
        <v>0</v>
      </c>
      <c r="H126" s="179" t="e">
        <f t="shared" si="23"/>
        <v>#DIV/0!</v>
      </c>
    </row>
    <row r="127" spans="1:8" ht="29.25" customHeight="1">
      <c r="A127" s="174"/>
      <c r="B127" s="121" t="s">
        <v>153</v>
      </c>
      <c r="C127" s="104"/>
      <c r="D127" s="112">
        <v>2.1</v>
      </c>
      <c r="E127" s="112"/>
      <c r="F127" s="112"/>
      <c r="G127" s="109">
        <f t="shared" si="22"/>
        <v>0</v>
      </c>
      <c r="H127" s="179" t="e">
        <f t="shared" si="23"/>
        <v>#DIV/0!</v>
      </c>
    </row>
    <row r="128" spans="1:8" ht="28.5" customHeight="1">
      <c r="A128" s="174"/>
      <c r="B128" s="111" t="s">
        <v>155</v>
      </c>
      <c r="C128" s="104"/>
      <c r="D128" s="112">
        <v>0.3</v>
      </c>
      <c r="E128" s="112"/>
      <c r="F128" s="112"/>
      <c r="G128" s="109">
        <f t="shared" si="22"/>
        <v>0</v>
      </c>
      <c r="H128" s="179" t="e">
        <f t="shared" si="23"/>
        <v>#DIV/0!</v>
      </c>
    </row>
    <row r="129" spans="1:8" ht="28.5" customHeight="1">
      <c r="A129" s="174"/>
      <c r="B129" s="111" t="s">
        <v>171</v>
      </c>
      <c r="C129" s="104"/>
      <c r="D129" s="112">
        <v>3.5</v>
      </c>
      <c r="E129" s="112"/>
      <c r="F129" s="112"/>
      <c r="G129" s="109">
        <f t="shared" si="22"/>
        <v>0</v>
      </c>
      <c r="H129" s="179" t="e">
        <f t="shared" si="23"/>
        <v>#DIV/0!</v>
      </c>
    </row>
    <row r="130" spans="1:8" ht="29.25" customHeight="1">
      <c r="A130" s="162"/>
      <c r="B130" s="121" t="s">
        <v>175</v>
      </c>
      <c r="C130" s="163"/>
      <c r="D130" s="112">
        <v>0.1</v>
      </c>
      <c r="E130" s="112"/>
      <c r="F130" s="112"/>
      <c r="G130" s="109">
        <f t="shared" si="22"/>
        <v>0</v>
      </c>
      <c r="H130" s="179" t="e">
        <f t="shared" si="23"/>
        <v>#DIV/0!</v>
      </c>
    </row>
    <row r="131" spans="1:8" ht="28.5" customHeight="1">
      <c r="A131" s="162"/>
      <c r="B131" s="124" t="s">
        <v>176</v>
      </c>
      <c r="C131" s="163"/>
      <c r="D131" s="112">
        <v>0.1</v>
      </c>
      <c r="E131" s="112"/>
      <c r="F131" s="112"/>
      <c r="G131" s="109">
        <f t="shared" si="22"/>
        <v>0</v>
      </c>
      <c r="H131" s="179" t="e">
        <f t="shared" si="23"/>
        <v>#DIV/0!</v>
      </c>
    </row>
    <row r="132" spans="1:8" ht="30.75" customHeight="1">
      <c r="A132" s="162"/>
      <c r="B132" s="124" t="s">
        <v>177</v>
      </c>
      <c r="C132" s="163"/>
      <c r="D132" s="112">
        <v>2.9</v>
      </c>
      <c r="E132" s="112"/>
      <c r="F132" s="112"/>
      <c r="G132" s="109">
        <f t="shared" si="22"/>
        <v>0</v>
      </c>
      <c r="H132" s="179" t="e">
        <f t="shared" si="23"/>
        <v>#DIV/0!</v>
      </c>
    </row>
    <row r="133" spans="1:8" ht="26.25" customHeight="1">
      <c r="A133" s="174" t="s">
        <v>342</v>
      </c>
      <c r="B133" s="186" t="s">
        <v>92</v>
      </c>
      <c r="C133" s="187">
        <v>1020</v>
      </c>
      <c r="D133" s="108">
        <f>D134+D137</f>
        <v>21</v>
      </c>
      <c r="E133" s="108">
        <f>E134+E137</f>
        <v>0</v>
      </c>
      <c r="F133" s="108">
        <f>F134+F137</f>
        <v>0</v>
      </c>
      <c r="G133" s="113">
        <f t="shared" si="22"/>
        <v>0</v>
      </c>
      <c r="H133" s="176" t="e">
        <f t="shared" si="23"/>
        <v>#DIV/0!</v>
      </c>
    </row>
    <row r="134" spans="1:8" ht="26.25" customHeight="1">
      <c r="A134" s="157" t="s">
        <v>343</v>
      </c>
      <c r="B134" s="183" t="s">
        <v>107</v>
      </c>
      <c r="C134" s="159">
        <v>1021</v>
      </c>
      <c r="D134" s="160">
        <f>SUM(D135:D136)</f>
        <v>4.7</v>
      </c>
      <c r="E134" s="160">
        <f>SUM(E135:E136)</f>
        <v>0</v>
      </c>
      <c r="F134" s="160">
        <f>SUM(F135:F136)</f>
        <v>0</v>
      </c>
      <c r="G134" s="161">
        <f t="shared" si="22"/>
        <v>0</v>
      </c>
      <c r="H134" s="167" t="e">
        <f t="shared" si="23"/>
        <v>#DIV/0!</v>
      </c>
    </row>
    <row r="135" spans="1:8" ht="40.5" customHeight="1">
      <c r="A135" s="157"/>
      <c r="B135" s="111" t="s">
        <v>164</v>
      </c>
      <c r="C135" s="163"/>
      <c r="D135" s="112">
        <v>0.5</v>
      </c>
      <c r="E135" s="112"/>
      <c r="F135" s="112"/>
      <c r="G135" s="109">
        <f t="shared" si="22"/>
        <v>0</v>
      </c>
      <c r="H135" s="179" t="e">
        <f t="shared" si="23"/>
        <v>#DIV/0!</v>
      </c>
    </row>
    <row r="136" spans="1:8" ht="27" customHeight="1">
      <c r="A136" s="157"/>
      <c r="B136" s="116" t="s">
        <v>165</v>
      </c>
      <c r="C136" s="163"/>
      <c r="D136" s="112">
        <v>4.2</v>
      </c>
      <c r="E136" s="112"/>
      <c r="F136" s="112"/>
      <c r="G136" s="109">
        <f t="shared" si="22"/>
        <v>0</v>
      </c>
      <c r="H136" s="179" t="e">
        <f t="shared" si="23"/>
        <v>#DIV/0!</v>
      </c>
    </row>
    <row r="137" spans="1:8" ht="27" customHeight="1">
      <c r="A137" s="157" t="s">
        <v>344</v>
      </c>
      <c r="B137" s="183" t="s">
        <v>180</v>
      </c>
      <c r="C137" s="159">
        <v>1025</v>
      </c>
      <c r="D137" s="160">
        <f>SUM(D138:D141)</f>
        <v>16.3</v>
      </c>
      <c r="E137" s="160">
        <f>SUM(E138:E141)</f>
        <v>0</v>
      </c>
      <c r="F137" s="160">
        <f>SUM(F138:F141)</f>
        <v>0</v>
      </c>
      <c r="G137" s="161">
        <f t="shared" si="22"/>
        <v>0</v>
      </c>
      <c r="H137" s="167" t="e">
        <f t="shared" si="23"/>
        <v>#DIV/0!</v>
      </c>
    </row>
    <row r="138" spans="1:8" ht="24.75" customHeight="1">
      <c r="A138" s="169"/>
      <c r="B138" s="123" t="s">
        <v>155</v>
      </c>
      <c r="C138" s="163"/>
      <c r="D138" s="112">
        <v>6</v>
      </c>
      <c r="E138" s="112"/>
      <c r="F138" s="112"/>
      <c r="G138" s="109">
        <f t="shared" si="22"/>
        <v>0</v>
      </c>
      <c r="H138" s="179" t="e">
        <f t="shared" si="23"/>
        <v>#DIV/0!</v>
      </c>
    </row>
    <row r="139" spans="1:8" ht="24.75" customHeight="1">
      <c r="A139" s="169"/>
      <c r="B139" s="121" t="s">
        <v>160</v>
      </c>
      <c r="C139" s="163"/>
      <c r="D139" s="112">
        <v>1</v>
      </c>
      <c r="E139" s="112"/>
      <c r="F139" s="112"/>
      <c r="G139" s="109">
        <f t="shared" si="22"/>
        <v>0</v>
      </c>
      <c r="H139" s="179" t="e">
        <f t="shared" si="23"/>
        <v>#DIV/0!</v>
      </c>
    </row>
    <row r="140" spans="1:8" ht="24.75" customHeight="1">
      <c r="A140" s="169"/>
      <c r="B140" s="111" t="s">
        <v>171</v>
      </c>
      <c r="C140" s="163"/>
      <c r="D140" s="112">
        <v>8.6999999999999993</v>
      </c>
      <c r="E140" s="112"/>
      <c r="F140" s="112"/>
      <c r="G140" s="109">
        <f t="shared" si="22"/>
        <v>0</v>
      </c>
      <c r="H140" s="179" t="e">
        <f t="shared" si="23"/>
        <v>#DIV/0!</v>
      </c>
    </row>
    <row r="141" spans="1:8" ht="24.75" customHeight="1">
      <c r="A141" s="169"/>
      <c r="B141" s="123" t="s">
        <v>206</v>
      </c>
      <c r="C141" s="163"/>
      <c r="D141" s="112">
        <v>0.6</v>
      </c>
      <c r="E141" s="112"/>
      <c r="F141" s="112"/>
      <c r="G141" s="109">
        <f t="shared" ref="G141:G204" si="24">F141-E141</f>
        <v>0</v>
      </c>
      <c r="H141" s="179" t="e">
        <f t="shared" ref="H141:H204" si="25">(F141/E141)*100</f>
        <v>#DIV/0!</v>
      </c>
    </row>
    <row r="142" spans="1:8" ht="24.75" customHeight="1">
      <c r="A142" s="174" t="s">
        <v>345</v>
      </c>
      <c r="B142" s="189" t="s">
        <v>93</v>
      </c>
      <c r="C142" s="187">
        <v>1030</v>
      </c>
      <c r="D142" s="108">
        <f>D143</f>
        <v>12.4</v>
      </c>
      <c r="E142" s="108">
        <f>E143</f>
        <v>0</v>
      </c>
      <c r="F142" s="108">
        <f>F143</f>
        <v>0</v>
      </c>
      <c r="G142" s="113">
        <f t="shared" si="24"/>
        <v>0</v>
      </c>
      <c r="H142" s="176" t="e">
        <f t="shared" si="25"/>
        <v>#DIV/0!</v>
      </c>
    </row>
    <row r="143" spans="1:8" ht="24.75" customHeight="1">
      <c r="A143" s="157" t="s">
        <v>346</v>
      </c>
      <c r="B143" s="197" t="s">
        <v>93</v>
      </c>
      <c r="C143" s="166">
        <v>1035</v>
      </c>
      <c r="D143" s="160">
        <f>SUM(D144:D144)</f>
        <v>12.4</v>
      </c>
      <c r="E143" s="160">
        <f>SUM(E144:E144)</f>
        <v>0</v>
      </c>
      <c r="F143" s="160">
        <f>SUM(F144:F144)</f>
        <v>0</v>
      </c>
      <c r="G143" s="161">
        <f t="shared" si="24"/>
        <v>0</v>
      </c>
      <c r="H143" s="167" t="e">
        <f t="shared" si="25"/>
        <v>#DIV/0!</v>
      </c>
    </row>
    <row r="144" spans="1:8" ht="24.75" customHeight="1">
      <c r="A144" s="155"/>
      <c r="B144" s="111" t="s">
        <v>173</v>
      </c>
      <c r="C144" s="163"/>
      <c r="D144" s="112">
        <v>12.4</v>
      </c>
      <c r="E144" s="112"/>
      <c r="F144" s="112"/>
      <c r="G144" s="109">
        <f t="shared" si="24"/>
        <v>0</v>
      </c>
      <c r="H144" s="179" t="e">
        <f t="shared" si="25"/>
        <v>#DIV/0!</v>
      </c>
    </row>
    <row r="145" spans="1:17" s="223" customFormat="1" ht="31.5" customHeight="1">
      <c r="A145" s="221" t="s">
        <v>190</v>
      </c>
      <c r="B145" s="222" t="s">
        <v>181</v>
      </c>
      <c r="C145" s="211"/>
      <c r="D145" s="213">
        <f>D147</f>
        <v>48.9</v>
      </c>
      <c r="E145" s="213">
        <f>E147</f>
        <v>0</v>
      </c>
      <c r="F145" s="213">
        <f>F147</f>
        <v>0</v>
      </c>
      <c r="G145" s="214">
        <f t="shared" si="24"/>
        <v>0</v>
      </c>
      <c r="H145" s="220" t="e">
        <f t="shared" si="25"/>
        <v>#DIV/0!</v>
      </c>
      <c r="K145" s="224"/>
      <c r="O145" s="225"/>
      <c r="P145" s="225"/>
      <c r="Q145" s="225"/>
    </row>
    <row r="146" spans="1:17" ht="24.75" customHeight="1">
      <c r="A146" s="162"/>
      <c r="B146" s="154" t="s">
        <v>86</v>
      </c>
      <c r="C146" s="187"/>
      <c r="D146" s="112"/>
      <c r="E146" s="112"/>
      <c r="F146" s="112"/>
      <c r="G146" s="113"/>
      <c r="H146" s="176"/>
    </row>
    <row r="147" spans="1:17" ht="24.75" customHeight="1">
      <c r="A147" s="174" t="s">
        <v>347</v>
      </c>
      <c r="B147" s="128" t="s">
        <v>90</v>
      </c>
      <c r="C147" s="187">
        <v>1010</v>
      </c>
      <c r="D147" s="108">
        <f>D148+D152+D153+D154</f>
        <v>48.9</v>
      </c>
      <c r="E147" s="108">
        <f>E148+E152+E153+E154</f>
        <v>0</v>
      </c>
      <c r="F147" s="108">
        <f>F148+F152+F153+F154</f>
        <v>0</v>
      </c>
      <c r="G147" s="113">
        <f t="shared" si="24"/>
        <v>0</v>
      </c>
      <c r="H147" s="176" t="e">
        <f t="shared" si="25"/>
        <v>#DIV/0!</v>
      </c>
    </row>
    <row r="148" spans="1:17" ht="30" customHeight="1">
      <c r="A148" s="198" t="s">
        <v>348</v>
      </c>
      <c r="B148" s="158" t="s">
        <v>107</v>
      </c>
      <c r="C148" s="159">
        <v>1011</v>
      </c>
      <c r="D148" s="160">
        <f>SUM(D149:D151)</f>
        <v>6.8000000000000007</v>
      </c>
      <c r="E148" s="160">
        <f>SUM(E149:E151)</f>
        <v>0</v>
      </c>
      <c r="F148" s="160">
        <f>SUM(F149:F151)</f>
        <v>0</v>
      </c>
      <c r="G148" s="161">
        <f t="shared" si="24"/>
        <v>0</v>
      </c>
      <c r="H148" s="167" t="e">
        <f t="shared" si="25"/>
        <v>#DIV/0!</v>
      </c>
    </row>
    <row r="149" spans="1:17" ht="24.75" customHeight="1">
      <c r="A149" s="198"/>
      <c r="B149" s="111" t="s">
        <v>141</v>
      </c>
      <c r="C149" s="163"/>
      <c r="D149" s="112">
        <v>1.9</v>
      </c>
      <c r="E149" s="112"/>
      <c r="F149" s="112"/>
      <c r="G149" s="109">
        <f t="shared" si="24"/>
        <v>0</v>
      </c>
      <c r="H149" s="179" t="e">
        <f t="shared" si="25"/>
        <v>#DIV/0!</v>
      </c>
    </row>
    <row r="150" spans="1:17" ht="24.75" customHeight="1">
      <c r="A150" s="198"/>
      <c r="B150" s="111" t="s">
        <v>183</v>
      </c>
      <c r="C150" s="163"/>
      <c r="D150" s="112">
        <v>4.5</v>
      </c>
      <c r="E150" s="112"/>
      <c r="F150" s="112"/>
      <c r="G150" s="109">
        <f t="shared" si="24"/>
        <v>0</v>
      </c>
      <c r="H150" s="179" t="e">
        <f t="shared" si="25"/>
        <v>#DIV/0!</v>
      </c>
    </row>
    <row r="151" spans="1:17" ht="37.5" customHeight="1">
      <c r="A151" s="198"/>
      <c r="B151" s="111" t="s">
        <v>164</v>
      </c>
      <c r="C151" s="163"/>
      <c r="D151" s="112">
        <v>0.4</v>
      </c>
      <c r="E151" s="112"/>
      <c r="F151" s="112"/>
      <c r="G151" s="109">
        <f t="shared" si="24"/>
        <v>0</v>
      </c>
      <c r="H151" s="179" t="e">
        <f t="shared" si="25"/>
        <v>#DIV/0!</v>
      </c>
    </row>
    <row r="152" spans="1:17" ht="24.75" customHeight="1">
      <c r="A152" s="157" t="s">
        <v>349</v>
      </c>
      <c r="B152" s="158" t="s">
        <v>2</v>
      </c>
      <c r="C152" s="159">
        <v>1012</v>
      </c>
      <c r="D152" s="160">
        <v>25.5</v>
      </c>
      <c r="E152" s="160"/>
      <c r="F152" s="160"/>
      <c r="G152" s="161">
        <f t="shared" si="24"/>
        <v>0</v>
      </c>
      <c r="H152" s="167" t="e">
        <f t="shared" si="25"/>
        <v>#DIV/0!</v>
      </c>
    </row>
    <row r="153" spans="1:17" ht="24.75" customHeight="1">
      <c r="A153" s="157" t="s">
        <v>350</v>
      </c>
      <c r="B153" s="158" t="s">
        <v>3</v>
      </c>
      <c r="C153" s="159">
        <v>1013</v>
      </c>
      <c r="D153" s="160">
        <v>5.2</v>
      </c>
      <c r="E153" s="160"/>
      <c r="F153" s="160"/>
      <c r="G153" s="161">
        <f t="shared" si="24"/>
        <v>0</v>
      </c>
      <c r="H153" s="167" t="e">
        <f t="shared" si="25"/>
        <v>#DIV/0!</v>
      </c>
    </row>
    <row r="154" spans="1:17" ht="24.75" customHeight="1">
      <c r="A154" s="198" t="s">
        <v>351</v>
      </c>
      <c r="B154" s="199" t="s">
        <v>184</v>
      </c>
      <c r="C154" s="195">
        <v>1015</v>
      </c>
      <c r="D154" s="160">
        <f>SUM(D155:D158)</f>
        <v>11.4</v>
      </c>
      <c r="E154" s="160">
        <f>SUM(E155:E158)</f>
        <v>0</v>
      </c>
      <c r="F154" s="160">
        <f>SUM(F155:F158)</f>
        <v>0</v>
      </c>
      <c r="G154" s="161">
        <f t="shared" si="24"/>
        <v>0</v>
      </c>
      <c r="H154" s="167" t="e">
        <f t="shared" si="25"/>
        <v>#DIV/0!</v>
      </c>
    </row>
    <row r="155" spans="1:17" ht="24.75" customHeight="1">
      <c r="A155" s="200"/>
      <c r="B155" s="111" t="s">
        <v>155</v>
      </c>
      <c r="C155" s="104"/>
      <c r="D155" s="112">
        <v>0.2</v>
      </c>
      <c r="E155" s="112"/>
      <c r="F155" s="112"/>
      <c r="G155" s="109">
        <f t="shared" si="24"/>
        <v>0</v>
      </c>
      <c r="H155" s="179" t="e">
        <f t="shared" si="25"/>
        <v>#DIV/0!</v>
      </c>
    </row>
    <row r="156" spans="1:17" ht="24.75" customHeight="1">
      <c r="A156" s="200"/>
      <c r="B156" s="111" t="s">
        <v>175</v>
      </c>
      <c r="C156" s="104"/>
      <c r="D156" s="112">
        <v>3.8</v>
      </c>
      <c r="E156" s="112"/>
      <c r="F156" s="112"/>
      <c r="G156" s="109">
        <f t="shared" si="24"/>
        <v>0</v>
      </c>
      <c r="H156" s="179" t="e">
        <f t="shared" si="25"/>
        <v>#DIV/0!</v>
      </c>
    </row>
    <row r="157" spans="1:17" ht="24.75" customHeight="1">
      <c r="A157" s="200"/>
      <c r="B157" s="111" t="s">
        <v>176</v>
      </c>
      <c r="C157" s="104"/>
      <c r="D157" s="112">
        <v>1.2</v>
      </c>
      <c r="E157" s="112"/>
      <c r="F157" s="112"/>
      <c r="G157" s="109">
        <f t="shared" si="24"/>
        <v>0</v>
      </c>
      <c r="H157" s="179" t="e">
        <f t="shared" si="25"/>
        <v>#DIV/0!</v>
      </c>
    </row>
    <row r="158" spans="1:17" ht="24.75" customHeight="1">
      <c r="A158" s="200"/>
      <c r="B158" s="111" t="s">
        <v>177</v>
      </c>
      <c r="C158" s="104"/>
      <c r="D158" s="112">
        <v>6.2</v>
      </c>
      <c r="E158" s="112"/>
      <c r="F158" s="112"/>
      <c r="G158" s="109">
        <f t="shared" si="24"/>
        <v>0</v>
      </c>
      <c r="H158" s="179" t="e">
        <f t="shared" si="25"/>
        <v>#DIV/0!</v>
      </c>
    </row>
    <row r="159" spans="1:17" ht="46.5" customHeight="1">
      <c r="A159" s="221" t="s">
        <v>191</v>
      </c>
      <c r="B159" s="219" t="s">
        <v>267</v>
      </c>
      <c r="C159" s="211"/>
      <c r="D159" s="213">
        <f>D161</f>
        <v>27.9</v>
      </c>
      <c r="E159" s="226">
        <f>E161</f>
        <v>0</v>
      </c>
      <c r="F159" s="226">
        <f>F161</f>
        <v>0</v>
      </c>
      <c r="G159" s="214">
        <f t="shared" si="24"/>
        <v>0</v>
      </c>
      <c r="H159" s="220" t="e">
        <f t="shared" si="25"/>
        <v>#DIV/0!</v>
      </c>
    </row>
    <row r="160" spans="1:17" ht="24.75" customHeight="1">
      <c r="A160" s="201"/>
      <c r="B160" s="154" t="s">
        <v>86</v>
      </c>
      <c r="C160" s="187"/>
      <c r="D160" s="112"/>
      <c r="E160" s="112"/>
      <c r="F160" s="112"/>
      <c r="G160" s="113"/>
      <c r="H160" s="113"/>
    </row>
    <row r="161" spans="1:17" ht="24.75" customHeight="1">
      <c r="A161" s="155" t="s">
        <v>352</v>
      </c>
      <c r="B161" s="128" t="s">
        <v>90</v>
      </c>
      <c r="C161" s="187">
        <v>1010</v>
      </c>
      <c r="D161" s="108">
        <f>D162+D165</f>
        <v>27.9</v>
      </c>
      <c r="E161" s="108">
        <f>E162+E165</f>
        <v>0</v>
      </c>
      <c r="F161" s="108">
        <f>F162+F165</f>
        <v>0</v>
      </c>
      <c r="G161" s="113">
        <f t="shared" si="24"/>
        <v>0</v>
      </c>
      <c r="H161" s="176" t="e">
        <f t="shared" si="25"/>
        <v>#DIV/0!</v>
      </c>
    </row>
    <row r="162" spans="1:17" ht="24.75" customHeight="1">
      <c r="A162" s="157" t="s">
        <v>192</v>
      </c>
      <c r="B162" s="158" t="s">
        <v>107</v>
      </c>
      <c r="C162" s="159">
        <v>1011</v>
      </c>
      <c r="D162" s="160">
        <f>SUM(D163:D164)</f>
        <v>15.2</v>
      </c>
      <c r="E162" s="160">
        <f>SUM(E163:E164)</f>
        <v>0</v>
      </c>
      <c r="F162" s="160">
        <f>SUM(F163:F164)</f>
        <v>0</v>
      </c>
      <c r="G162" s="161">
        <f t="shared" si="24"/>
        <v>0</v>
      </c>
      <c r="H162" s="167" t="e">
        <f t="shared" si="25"/>
        <v>#DIV/0!</v>
      </c>
    </row>
    <row r="163" spans="1:17" ht="24.75" customHeight="1">
      <c r="A163" s="157"/>
      <c r="B163" s="111" t="s">
        <v>165</v>
      </c>
      <c r="C163" s="163"/>
      <c r="D163" s="112">
        <v>2.1</v>
      </c>
      <c r="E163" s="112"/>
      <c r="F163" s="112"/>
      <c r="G163" s="109">
        <f t="shared" si="24"/>
        <v>0</v>
      </c>
      <c r="H163" s="179" t="e">
        <f t="shared" si="25"/>
        <v>#DIV/0!</v>
      </c>
    </row>
    <row r="164" spans="1:17" ht="36" customHeight="1">
      <c r="A164" s="157"/>
      <c r="B164" s="111" t="s">
        <v>164</v>
      </c>
      <c r="C164" s="163"/>
      <c r="D164" s="112">
        <v>13.1</v>
      </c>
      <c r="E164" s="112"/>
      <c r="F164" s="112"/>
      <c r="G164" s="109">
        <f t="shared" si="24"/>
        <v>0</v>
      </c>
      <c r="H164" s="179" t="e">
        <f t="shared" si="25"/>
        <v>#DIV/0!</v>
      </c>
    </row>
    <row r="165" spans="1:17" ht="24.75" customHeight="1">
      <c r="A165" s="157" t="s">
        <v>353</v>
      </c>
      <c r="B165" s="197" t="s">
        <v>188</v>
      </c>
      <c r="C165" s="166">
        <v>1015</v>
      </c>
      <c r="D165" s="160">
        <f>SUM(D166:D167)</f>
        <v>12.7</v>
      </c>
      <c r="E165" s="160">
        <f>SUM(E166:E167)</f>
        <v>0</v>
      </c>
      <c r="F165" s="160">
        <f>SUM(F166:F167)</f>
        <v>0</v>
      </c>
      <c r="G165" s="161">
        <f t="shared" si="24"/>
        <v>0</v>
      </c>
      <c r="H165" s="167" t="e">
        <f t="shared" si="25"/>
        <v>#DIV/0!</v>
      </c>
    </row>
    <row r="166" spans="1:17" ht="24.75" customHeight="1">
      <c r="A166" s="174"/>
      <c r="B166" s="111" t="s">
        <v>175</v>
      </c>
      <c r="C166" s="163"/>
      <c r="D166" s="112">
        <v>7.5</v>
      </c>
      <c r="E166" s="112"/>
      <c r="F166" s="112"/>
      <c r="G166" s="109">
        <f t="shared" si="24"/>
        <v>0</v>
      </c>
      <c r="H166" s="179" t="e">
        <f t="shared" si="25"/>
        <v>#DIV/0!</v>
      </c>
    </row>
    <row r="167" spans="1:17" ht="24.75" customHeight="1">
      <c r="A167" s="174"/>
      <c r="B167" s="111" t="s">
        <v>177</v>
      </c>
      <c r="C167" s="163"/>
      <c r="D167" s="112">
        <v>5.2</v>
      </c>
      <c r="E167" s="112"/>
      <c r="F167" s="112"/>
      <c r="G167" s="109">
        <f t="shared" si="24"/>
        <v>0</v>
      </c>
      <c r="H167" s="179" t="e">
        <f t="shared" si="25"/>
        <v>#DIV/0!</v>
      </c>
    </row>
    <row r="168" spans="1:17" ht="32.25" customHeight="1">
      <c r="A168" s="218" t="s">
        <v>201</v>
      </c>
      <c r="B168" s="219" t="s">
        <v>243</v>
      </c>
      <c r="C168" s="227"/>
      <c r="D168" s="213">
        <f>D170+D185</f>
        <v>3535.04</v>
      </c>
      <c r="E168" s="213">
        <f>E170+E185</f>
        <v>3286.1</v>
      </c>
      <c r="F168" s="213">
        <f>F170+F185</f>
        <v>3285.7999999999997</v>
      </c>
      <c r="G168" s="214">
        <f t="shared" si="24"/>
        <v>-0.3000000000001819</v>
      </c>
      <c r="H168" s="214">
        <f t="shared" si="25"/>
        <v>99.990870636925223</v>
      </c>
    </row>
    <row r="169" spans="1:17" ht="24.75" customHeight="1">
      <c r="A169" s="174"/>
      <c r="B169" s="190" t="s">
        <v>86</v>
      </c>
      <c r="C169" s="163"/>
      <c r="D169" s="112"/>
      <c r="E169" s="112"/>
      <c r="F169" s="112"/>
      <c r="G169" s="113">
        <f t="shared" si="24"/>
        <v>0</v>
      </c>
      <c r="H169" s="176" t="e">
        <f t="shared" si="25"/>
        <v>#DIV/0!</v>
      </c>
    </row>
    <row r="170" spans="1:17" ht="24.75" customHeight="1">
      <c r="A170" s="174" t="s">
        <v>354</v>
      </c>
      <c r="B170" s="180" t="s">
        <v>90</v>
      </c>
      <c r="C170" s="187">
        <v>1010</v>
      </c>
      <c r="D170" s="108">
        <f>D171+D180</f>
        <v>3508.24</v>
      </c>
      <c r="E170" s="108">
        <f>E171+E180</f>
        <v>3219.4</v>
      </c>
      <c r="F170" s="108">
        <f>F171+F180</f>
        <v>3253.8999999999996</v>
      </c>
      <c r="G170" s="113">
        <f t="shared" si="24"/>
        <v>34.499999999999545</v>
      </c>
      <c r="H170" s="113">
        <f t="shared" si="25"/>
        <v>101.07162825371185</v>
      </c>
    </row>
    <row r="171" spans="1:17" ht="24.75" customHeight="1">
      <c r="A171" s="157" t="s">
        <v>355</v>
      </c>
      <c r="B171" s="183" t="s">
        <v>107</v>
      </c>
      <c r="C171" s="159">
        <v>1011</v>
      </c>
      <c r="D171" s="160">
        <f>SUM(D172:D179)</f>
        <v>664.04000000000008</v>
      </c>
      <c r="E171" s="160">
        <f>SUM(E172:E179)</f>
        <v>1380.7</v>
      </c>
      <c r="F171" s="160">
        <f>SUM(F172:F179)</f>
        <v>1380.7</v>
      </c>
      <c r="G171" s="161">
        <f t="shared" si="24"/>
        <v>0</v>
      </c>
      <c r="H171" s="161">
        <f t="shared" si="25"/>
        <v>100</v>
      </c>
    </row>
    <row r="172" spans="1:17" ht="36" customHeight="1">
      <c r="A172" s="169"/>
      <c r="B172" s="111" t="s">
        <v>193</v>
      </c>
      <c r="C172" s="163"/>
      <c r="D172" s="112">
        <v>0.54</v>
      </c>
      <c r="E172" s="112"/>
      <c r="F172" s="112"/>
      <c r="G172" s="109">
        <f t="shared" si="24"/>
        <v>0</v>
      </c>
      <c r="H172" s="179" t="e">
        <f t="shared" si="25"/>
        <v>#DIV/0!</v>
      </c>
    </row>
    <row r="173" spans="1:17" ht="24.75" customHeight="1">
      <c r="A173" s="169"/>
      <c r="B173" s="111" t="s">
        <v>194</v>
      </c>
      <c r="C173" s="163"/>
      <c r="D173" s="112">
        <v>184.2</v>
      </c>
      <c r="E173" s="247">
        <v>1217</v>
      </c>
      <c r="F173" s="20">
        <f>1223.2-6.2</f>
        <v>1217</v>
      </c>
      <c r="G173" s="109">
        <f t="shared" si="24"/>
        <v>0</v>
      </c>
      <c r="H173" s="109">
        <f t="shared" si="25"/>
        <v>100</v>
      </c>
      <c r="I173" s="177"/>
    </row>
    <row r="174" spans="1:17" ht="24.75" customHeight="1">
      <c r="A174" s="169"/>
      <c r="B174" s="111" t="s">
        <v>370</v>
      </c>
      <c r="C174" s="163"/>
      <c r="D174" s="112"/>
      <c r="E174" s="112"/>
      <c r="F174" s="20">
        <v>0</v>
      </c>
      <c r="G174" s="109">
        <f t="shared" si="24"/>
        <v>0</v>
      </c>
      <c r="H174" s="179" t="e">
        <f t="shared" si="25"/>
        <v>#DIV/0!</v>
      </c>
      <c r="I174" s="177"/>
      <c r="O174" s="133"/>
      <c r="P174" s="133"/>
      <c r="Q174" s="133"/>
    </row>
    <row r="175" spans="1:17" ht="24.75" customHeight="1">
      <c r="A175" s="169"/>
      <c r="B175" s="111" t="s">
        <v>315</v>
      </c>
      <c r="C175" s="163"/>
      <c r="D175" s="112"/>
      <c r="E175" s="247">
        <v>13.7</v>
      </c>
      <c r="F175" s="20">
        <f>19.3-5.6</f>
        <v>13.700000000000001</v>
      </c>
      <c r="G175" s="109">
        <f t="shared" si="24"/>
        <v>0</v>
      </c>
      <c r="H175" s="109">
        <f t="shared" si="25"/>
        <v>100.00000000000003</v>
      </c>
      <c r="I175" s="177"/>
    </row>
    <row r="176" spans="1:17" ht="24.75" customHeight="1">
      <c r="A176" s="169"/>
      <c r="B176" s="111" t="s">
        <v>195</v>
      </c>
      <c r="C176" s="163"/>
      <c r="D176" s="112">
        <v>269.10000000000002</v>
      </c>
      <c r="E176" s="112"/>
      <c r="F176" s="20">
        <v>0</v>
      </c>
      <c r="G176" s="109">
        <f t="shared" si="24"/>
        <v>0</v>
      </c>
      <c r="H176" s="179" t="e">
        <f t="shared" si="25"/>
        <v>#DIV/0!</v>
      </c>
    </row>
    <row r="177" spans="1:10" ht="24.75" customHeight="1">
      <c r="A177" s="169"/>
      <c r="B177" s="111" t="s">
        <v>196</v>
      </c>
      <c r="C177" s="163"/>
      <c r="D177" s="112">
        <v>110.7</v>
      </c>
      <c r="E177" s="247">
        <v>150</v>
      </c>
      <c r="F177" s="20">
        <f>274.6-124.6</f>
        <v>150.00000000000003</v>
      </c>
      <c r="G177" s="109">
        <f t="shared" si="24"/>
        <v>0</v>
      </c>
      <c r="H177" s="179">
        <f t="shared" si="25"/>
        <v>100.00000000000003</v>
      </c>
    </row>
    <row r="178" spans="1:10" ht="24.75" customHeight="1">
      <c r="A178" s="169"/>
      <c r="B178" s="111" t="s">
        <v>197</v>
      </c>
      <c r="C178" s="163"/>
      <c r="D178" s="112">
        <v>98.5</v>
      </c>
      <c r="E178" s="112"/>
      <c r="F178" s="20"/>
      <c r="G178" s="109">
        <f t="shared" si="24"/>
        <v>0</v>
      </c>
      <c r="H178" s="179" t="e">
        <f t="shared" si="25"/>
        <v>#DIV/0!</v>
      </c>
    </row>
    <row r="179" spans="1:10" ht="24.75" customHeight="1">
      <c r="A179" s="169"/>
      <c r="B179" s="111" t="s">
        <v>198</v>
      </c>
      <c r="C179" s="163"/>
      <c r="D179" s="112">
        <v>1</v>
      </c>
      <c r="E179" s="112"/>
      <c r="F179" s="112"/>
      <c r="G179" s="109">
        <f t="shared" si="24"/>
        <v>0</v>
      </c>
      <c r="H179" s="179" t="e">
        <f t="shared" si="25"/>
        <v>#DIV/0!</v>
      </c>
      <c r="J179" s="114"/>
    </row>
    <row r="180" spans="1:10" ht="24.75" customHeight="1">
      <c r="A180" s="157" t="s">
        <v>356</v>
      </c>
      <c r="B180" s="194" t="s">
        <v>98</v>
      </c>
      <c r="C180" s="195">
        <v>1015</v>
      </c>
      <c r="D180" s="160">
        <f>SUM(D181:D184)</f>
        <v>2844.2</v>
      </c>
      <c r="E180" s="160">
        <f>SUM(E181:E184)</f>
        <v>1838.7</v>
      </c>
      <c r="F180" s="160">
        <f>SUM(F181:F184)</f>
        <v>1873.1999999999998</v>
      </c>
      <c r="G180" s="161">
        <f t="shared" si="24"/>
        <v>34.499999999999773</v>
      </c>
      <c r="H180" s="161">
        <f t="shared" si="25"/>
        <v>101.8763256648719</v>
      </c>
    </row>
    <row r="181" spans="1:10" ht="24.75" customHeight="1">
      <c r="A181" s="174"/>
      <c r="B181" s="121" t="s">
        <v>175</v>
      </c>
      <c r="C181" s="121"/>
      <c r="D181" s="112">
        <v>1988.2</v>
      </c>
      <c r="E181" s="259">
        <f>1912.9-410.9</f>
        <v>1502</v>
      </c>
      <c r="F181" s="112">
        <v>1521.3</v>
      </c>
      <c r="G181" s="109">
        <f t="shared" si="24"/>
        <v>19.299999999999955</v>
      </c>
      <c r="H181" s="109">
        <f t="shared" si="25"/>
        <v>101.2849533954727</v>
      </c>
    </row>
    <row r="182" spans="1:10" ht="24.75" customHeight="1">
      <c r="A182" s="174"/>
      <c r="B182" s="121" t="s">
        <v>176</v>
      </c>
      <c r="C182" s="121"/>
      <c r="D182" s="112">
        <v>65.400000000000006</v>
      </c>
      <c r="E182" s="259">
        <f>86.6-24.1</f>
        <v>62.499999999999993</v>
      </c>
      <c r="F182" s="112">
        <v>63.1</v>
      </c>
      <c r="G182" s="109">
        <f t="shared" si="24"/>
        <v>0.60000000000000853</v>
      </c>
      <c r="H182" s="109">
        <f t="shared" si="25"/>
        <v>100.96000000000001</v>
      </c>
    </row>
    <row r="183" spans="1:10" ht="24.75" customHeight="1">
      <c r="A183" s="174"/>
      <c r="B183" s="121" t="s">
        <v>199</v>
      </c>
      <c r="C183" s="121"/>
      <c r="D183" s="112">
        <v>766.9</v>
      </c>
      <c r="E183" s="259">
        <f>842.4-611.4</f>
        <v>231</v>
      </c>
      <c r="F183" s="112">
        <v>245.5</v>
      </c>
      <c r="G183" s="109">
        <f t="shared" si="24"/>
        <v>14.5</v>
      </c>
      <c r="H183" s="109">
        <f t="shared" si="25"/>
        <v>106.27705627705627</v>
      </c>
    </row>
    <row r="184" spans="1:10" ht="24.75" customHeight="1">
      <c r="A184" s="174"/>
      <c r="B184" s="121" t="s">
        <v>178</v>
      </c>
      <c r="C184" s="121"/>
      <c r="D184" s="112">
        <v>23.7</v>
      </c>
      <c r="E184" s="259">
        <f>46-2.8</f>
        <v>43.2</v>
      </c>
      <c r="F184" s="112">
        <v>43.3</v>
      </c>
      <c r="G184" s="109">
        <f t="shared" si="24"/>
        <v>9.9999999999994316E-2</v>
      </c>
      <c r="H184" s="109">
        <f t="shared" si="25"/>
        <v>100.23148148148147</v>
      </c>
    </row>
    <row r="185" spans="1:10" ht="24.75" customHeight="1">
      <c r="A185" s="174" t="s">
        <v>357</v>
      </c>
      <c r="B185" s="186" t="s">
        <v>92</v>
      </c>
      <c r="C185" s="187">
        <v>1020</v>
      </c>
      <c r="D185" s="108">
        <f>D186</f>
        <v>26.8</v>
      </c>
      <c r="E185" s="108">
        <f>E186</f>
        <v>66.699999999999989</v>
      </c>
      <c r="F185" s="108">
        <f>F186</f>
        <v>31.9</v>
      </c>
      <c r="G185" s="113">
        <f t="shared" si="24"/>
        <v>-34.79999999999999</v>
      </c>
      <c r="H185" s="113">
        <f t="shared" si="25"/>
        <v>47.826086956521749</v>
      </c>
    </row>
    <row r="186" spans="1:10" ht="24.75" customHeight="1">
      <c r="A186" s="157" t="s">
        <v>358</v>
      </c>
      <c r="B186" s="183" t="s">
        <v>180</v>
      </c>
      <c r="C186" s="159">
        <v>1025</v>
      </c>
      <c r="D186" s="160">
        <f>SUM(D187:D190)</f>
        <v>26.8</v>
      </c>
      <c r="E186" s="160">
        <f>SUM(E187:E190)</f>
        <v>66.699999999999989</v>
      </c>
      <c r="F186" s="160">
        <f>SUM(F187:F190)</f>
        <v>31.9</v>
      </c>
      <c r="G186" s="161">
        <f t="shared" si="24"/>
        <v>-34.79999999999999</v>
      </c>
      <c r="H186" s="161">
        <f t="shared" si="25"/>
        <v>47.826086956521749</v>
      </c>
    </row>
    <row r="187" spans="1:10" ht="24.75" customHeight="1">
      <c r="A187" s="201"/>
      <c r="B187" s="124" t="s">
        <v>175</v>
      </c>
      <c r="C187" s="163"/>
      <c r="D187" s="112">
        <v>15.9</v>
      </c>
      <c r="E187" s="112">
        <v>44.8</v>
      </c>
      <c r="F187" s="112">
        <v>25.3</v>
      </c>
      <c r="G187" s="109">
        <f t="shared" si="24"/>
        <v>-19.499999999999996</v>
      </c>
      <c r="H187" s="109">
        <f t="shared" si="25"/>
        <v>56.473214285714292</v>
      </c>
    </row>
    <row r="188" spans="1:10" ht="24.75" customHeight="1">
      <c r="A188" s="201"/>
      <c r="B188" s="124" t="s">
        <v>176</v>
      </c>
      <c r="C188" s="163"/>
      <c r="D188" s="112">
        <v>1.4</v>
      </c>
      <c r="E188" s="112">
        <v>1.9</v>
      </c>
      <c r="F188" s="112">
        <v>1.3</v>
      </c>
      <c r="G188" s="109">
        <f t="shared" si="24"/>
        <v>-0.59999999999999987</v>
      </c>
      <c r="H188" s="109">
        <f t="shared" si="25"/>
        <v>68.421052631578945</v>
      </c>
    </row>
    <row r="189" spans="1:10" ht="24.75" customHeight="1">
      <c r="A189" s="201"/>
      <c r="B189" s="124" t="s">
        <v>177</v>
      </c>
      <c r="C189" s="163"/>
      <c r="D189" s="112">
        <v>9.5</v>
      </c>
      <c r="E189" s="112">
        <v>19</v>
      </c>
      <c r="F189" s="112">
        <v>4.4000000000000004</v>
      </c>
      <c r="G189" s="109">
        <f t="shared" si="24"/>
        <v>-14.6</v>
      </c>
      <c r="H189" s="109">
        <f t="shared" si="25"/>
        <v>23.157894736842106</v>
      </c>
    </row>
    <row r="190" spans="1:10" ht="24.75" customHeight="1">
      <c r="A190" s="201"/>
      <c r="B190" s="124" t="s">
        <v>200</v>
      </c>
      <c r="C190" s="163"/>
      <c r="D190" s="112"/>
      <c r="E190" s="112">
        <v>1</v>
      </c>
      <c r="F190" s="112">
        <v>0.9</v>
      </c>
      <c r="G190" s="109">
        <f t="shared" si="24"/>
        <v>-9.9999999999999978E-2</v>
      </c>
      <c r="H190" s="109">
        <f t="shared" si="25"/>
        <v>90</v>
      </c>
    </row>
    <row r="191" spans="1:10" ht="30.75" customHeight="1">
      <c r="A191" s="221" t="s">
        <v>202</v>
      </c>
      <c r="B191" s="228" t="s">
        <v>259</v>
      </c>
      <c r="C191" s="227"/>
      <c r="D191" s="213">
        <f>D193</f>
        <v>635.29999999999995</v>
      </c>
      <c r="E191" s="213">
        <f>E193+E196</f>
        <v>0</v>
      </c>
      <c r="F191" s="250">
        <f>F193</f>
        <v>838</v>
      </c>
      <c r="G191" s="214">
        <f t="shared" si="24"/>
        <v>838</v>
      </c>
      <c r="H191" s="220" t="e">
        <f t="shared" si="25"/>
        <v>#DIV/0!</v>
      </c>
      <c r="J191" s="15">
        <v>838</v>
      </c>
    </row>
    <row r="192" spans="1:10" ht="24.75" customHeight="1">
      <c r="A192" s="201"/>
      <c r="B192" s="203" t="s">
        <v>86</v>
      </c>
      <c r="C192" s="163"/>
      <c r="D192" s="112"/>
      <c r="E192" s="112"/>
      <c r="F192" s="112"/>
      <c r="G192" s="109"/>
      <c r="H192" s="179"/>
    </row>
    <row r="193" spans="1:17" ht="27.75" customHeight="1">
      <c r="A193" s="155" t="s">
        <v>359</v>
      </c>
      <c r="B193" s="202" t="s">
        <v>90</v>
      </c>
      <c r="C193" s="187">
        <v>1010</v>
      </c>
      <c r="D193" s="108">
        <f>D194</f>
        <v>635.29999999999995</v>
      </c>
      <c r="E193" s="108"/>
      <c r="F193" s="108">
        <f>F194</f>
        <v>838</v>
      </c>
      <c r="G193" s="113">
        <f t="shared" si="24"/>
        <v>838</v>
      </c>
      <c r="H193" s="176" t="e">
        <f t="shared" si="25"/>
        <v>#DIV/0!</v>
      </c>
    </row>
    <row r="194" spans="1:17" ht="27" customHeight="1">
      <c r="A194" s="198" t="s">
        <v>360</v>
      </c>
      <c r="B194" s="196" t="s">
        <v>107</v>
      </c>
      <c r="C194" s="159">
        <v>1011</v>
      </c>
      <c r="D194" s="160">
        <f>D195</f>
        <v>635.29999999999995</v>
      </c>
      <c r="E194" s="160"/>
      <c r="F194" s="160">
        <f>SUM(F195:F200)</f>
        <v>838</v>
      </c>
      <c r="G194" s="161">
        <f t="shared" si="24"/>
        <v>838</v>
      </c>
      <c r="H194" s="167" t="e">
        <f t="shared" si="25"/>
        <v>#DIV/0!</v>
      </c>
    </row>
    <row r="195" spans="1:17" ht="29.25" customHeight="1">
      <c r="A195" s="201"/>
      <c r="B195" s="111" t="s">
        <v>194</v>
      </c>
      <c r="C195" s="163"/>
      <c r="D195" s="112">
        <v>635.29999999999995</v>
      </c>
      <c r="E195" s="112"/>
      <c r="F195" s="112">
        <v>6.2</v>
      </c>
      <c r="G195" s="109">
        <f t="shared" si="24"/>
        <v>6.2</v>
      </c>
      <c r="H195" s="179" t="e">
        <f t="shared" si="25"/>
        <v>#DIV/0!</v>
      </c>
    </row>
    <row r="196" spans="1:17" ht="24.75" customHeight="1">
      <c r="A196" s="252"/>
      <c r="B196" s="239" t="s">
        <v>195</v>
      </c>
      <c r="C196" s="57"/>
      <c r="D196" s="20"/>
      <c r="E196" s="20"/>
      <c r="F196" s="20">
        <f>512-18.3</f>
        <v>493.7</v>
      </c>
      <c r="G196" s="253"/>
      <c r="H196" s="253"/>
    </row>
    <row r="197" spans="1:17" ht="24.75" customHeight="1">
      <c r="A197" s="254"/>
      <c r="B197" s="58" t="s">
        <v>370</v>
      </c>
      <c r="C197" s="101"/>
      <c r="D197" s="19"/>
      <c r="E197" s="19"/>
      <c r="F197" s="20">
        <v>109.8</v>
      </c>
      <c r="G197" s="253"/>
      <c r="H197" s="253"/>
      <c r="I197" s="21"/>
    </row>
    <row r="198" spans="1:17" ht="24.75" customHeight="1">
      <c r="A198" s="255"/>
      <c r="B198" s="58" t="s">
        <v>315</v>
      </c>
      <c r="C198" s="63"/>
      <c r="D198" s="53"/>
      <c r="E198" s="53"/>
      <c r="F198" s="20">
        <v>5.6</v>
      </c>
      <c r="G198" s="256"/>
      <c r="H198" s="256"/>
    </row>
    <row r="199" spans="1:17" ht="24.75" customHeight="1">
      <c r="A199" s="255"/>
      <c r="B199" s="58" t="s">
        <v>196</v>
      </c>
      <c r="C199" s="63"/>
      <c r="D199" s="53"/>
      <c r="E199" s="53"/>
      <c r="F199" s="20">
        <v>124.6</v>
      </c>
      <c r="G199" s="256"/>
      <c r="H199" s="256"/>
      <c r="O199" s="244"/>
      <c r="P199" s="244"/>
      <c r="Q199" s="244"/>
    </row>
    <row r="200" spans="1:17" ht="26.25" customHeight="1">
      <c r="A200" s="254"/>
      <c r="B200" s="257" t="s">
        <v>197</v>
      </c>
      <c r="C200" s="257"/>
      <c r="D200" s="20"/>
      <c r="E200" s="20"/>
      <c r="F200" s="20">
        <v>98.1</v>
      </c>
      <c r="G200" s="253"/>
      <c r="H200" s="253"/>
    </row>
    <row r="201" spans="1:17" ht="24.75" customHeight="1">
      <c r="A201" s="221" t="s">
        <v>374</v>
      </c>
      <c r="B201" s="219" t="s">
        <v>203</v>
      </c>
      <c r="C201" s="216"/>
      <c r="D201" s="213">
        <f>D203</f>
        <v>23.3</v>
      </c>
      <c r="E201" s="213">
        <f>E203</f>
        <v>21.4</v>
      </c>
      <c r="F201" s="213">
        <f>F203</f>
        <v>25.6</v>
      </c>
      <c r="G201" s="214">
        <f t="shared" si="24"/>
        <v>4.2000000000000028</v>
      </c>
      <c r="H201" s="214">
        <f t="shared" si="25"/>
        <v>119.62616822429908</v>
      </c>
    </row>
    <row r="202" spans="1:17" ht="24.75" customHeight="1">
      <c r="A202" s="201"/>
      <c r="B202" s="154" t="s">
        <v>86</v>
      </c>
      <c r="C202" s="204"/>
      <c r="D202" s="112"/>
      <c r="E202" s="112"/>
      <c r="F202" s="112"/>
      <c r="G202" s="113"/>
      <c r="H202" s="176" t="e">
        <f t="shared" si="25"/>
        <v>#DIV/0!</v>
      </c>
    </row>
    <row r="203" spans="1:17" ht="24.75" customHeight="1">
      <c r="A203" s="155" t="s">
        <v>375</v>
      </c>
      <c r="B203" s="189" t="s">
        <v>12</v>
      </c>
      <c r="C203" s="187">
        <v>1030</v>
      </c>
      <c r="D203" s="108">
        <f>D204</f>
        <v>23.3</v>
      </c>
      <c r="E203" s="108">
        <f>E204</f>
        <v>21.4</v>
      </c>
      <c r="F203" s="108">
        <f>F204</f>
        <v>25.6</v>
      </c>
      <c r="G203" s="113">
        <f t="shared" si="24"/>
        <v>4.2000000000000028</v>
      </c>
      <c r="H203" s="113">
        <f t="shared" si="25"/>
        <v>119.62616822429908</v>
      </c>
    </row>
    <row r="204" spans="1:17" ht="24.75" customHeight="1">
      <c r="A204" s="198" t="s">
        <v>376</v>
      </c>
      <c r="B204" s="205" t="s">
        <v>93</v>
      </c>
      <c r="C204" s="159">
        <v>1035</v>
      </c>
      <c r="D204" s="160">
        <f>SUM(D205:D207)</f>
        <v>23.3</v>
      </c>
      <c r="E204" s="160">
        <f>SUM(E205:E207)</f>
        <v>21.4</v>
      </c>
      <c r="F204" s="160">
        <f>SUM(F205:F207)</f>
        <v>25.6</v>
      </c>
      <c r="G204" s="161">
        <f t="shared" si="24"/>
        <v>4.2000000000000028</v>
      </c>
      <c r="H204" s="161">
        <f t="shared" si="25"/>
        <v>119.62616822429908</v>
      </c>
    </row>
    <row r="205" spans="1:17" ht="24.75" customHeight="1">
      <c r="A205" s="200"/>
      <c r="B205" s="111" t="s">
        <v>175</v>
      </c>
      <c r="C205" s="163"/>
      <c r="D205" s="112">
        <v>5.3</v>
      </c>
      <c r="E205" s="112">
        <v>2</v>
      </c>
      <c r="F205" s="112">
        <v>4.5</v>
      </c>
      <c r="G205" s="113">
        <f t="shared" ref="G205:G268" si="26">F205-E205</f>
        <v>2.5</v>
      </c>
      <c r="H205" s="113">
        <f t="shared" ref="H205:H268" si="27">(F205/E205)*100</f>
        <v>225</v>
      </c>
    </row>
    <row r="206" spans="1:17" ht="24.75" customHeight="1">
      <c r="A206" s="200"/>
      <c r="B206" s="111" t="s">
        <v>176</v>
      </c>
      <c r="C206" s="163"/>
      <c r="D206" s="112">
        <v>1</v>
      </c>
      <c r="E206" s="112">
        <v>2</v>
      </c>
      <c r="F206" s="112">
        <v>1</v>
      </c>
      <c r="G206" s="113">
        <f t="shared" si="26"/>
        <v>-1</v>
      </c>
      <c r="H206" s="113">
        <f t="shared" si="27"/>
        <v>50</v>
      </c>
    </row>
    <row r="207" spans="1:17" ht="26.25" customHeight="1">
      <c r="A207" s="155"/>
      <c r="B207" s="111" t="s">
        <v>177</v>
      </c>
      <c r="C207" s="163"/>
      <c r="D207" s="112">
        <v>17</v>
      </c>
      <c r="E207" s="112">
        <f>20-2.6</f>
        <v>17.399999999999999</v>
      </c>
      <c r="F207" s="112">
        <f>20.1-4.2+4.2</f>
        <v>20.100000000000001</v>
      </c>
      <c r="G207" s="113">
        <f t="shared" si="26"/>
        <v>2.7000000000000028</v>
      </c>
      <c r="H207" s="113">
        <f t="shared" si="27"/>
        <v>115.51724137931036</v>
      </c>
    </row>
    <row r="208" spans="1:17" ht="40.5" customHeight="1">
      <c r="A208" s="221" t="s">
        <v>226</v>
      </c>
      <c r="B208" s="230" t="s">
        <v>204</v>
      </c>
      <c r="C208" s="211"/>
      <c r="D208" s="213">
        <f>D210+D213</f>
        <v>8.6</v>
      </c>
      <c r="E208" s="213">
        <f>E210+E213</f>
        <v>12.5</v>
      </c>
      <c r="F208" s="251">
        <f>F210+F213</f>
        <v>4.2</v>
      </c>
      <c r="G208" s="214">
        <f t="shared" si="26"/>
        <v>-8.3000000000000007</v>
      </c>
      <c r="H208" s="214">
        <f t="shared" si="27"/>
        <v>33.6</v>
      </c>
      <c r="I208" s="15">
        <v>4.2</v>
      </c>
    </row>
    <row r="209" spans="1:10" ht="24.75" customHeight="1">
      <c r="A209" s="155"/>
      <c r="B209" s="154" t="s">
        <v>86</v>
      </c>
      <c r="C209" s="107"/>
      <c r="D209" s="112"/>
      <c r="E209" s="112"/>
      <c r="F209" s="112"/>
      <c r="G209" s="113"/>
      <c r="H209" s="113"/>
      <c r="I209" s="114"/>
    </row>
    <row r="210" spans="1:10" ht="26.25" customHeight="1">
      <c r="A210" s="155" t="s">
        <v>377</v>
      </c>
      <c r="B210" s="180" t="s">
        <v>90</v>
      </c>
      <c r="C210" s="107">
        <v>1010</v>
      </c>
      <c r="D210" s="108">
        <f t="shared" ref="D210:F211" si="28">D211</f>
        <v>8.1</v>
      </c>
      <c r="E210" s="108">
        <f t="shared" si="28"/>
        <v>11</v>
      </c>
      <c r="F210" s="108">
        <f t="shared" si="28"/>
        <v>3.3</v>
      </c>
      <c r="G210" s="113">
        <f t="shared" si="26"/>
        <v>-7.7</v>
      </c>
      <c r="H210" s="113">
        <f t="shared" si="27"/>
        <v>30</v>
      </c>
    </row>
    <row r="211" spans="1:10" ht="28.5" customHeight="1">
      <c r="A211" s="198" t="s">
        <v>378</v>
      </c>
      <c r="B211" s="158" t="s">
        <v>98</v>
      </c>
      <c r="C211" s="195">
        <v>1015</v>
      </c>
      <c r="D211" s="170">
        <f t="shared" si="28"/>
        <v>8.1</v>
      </c>
      <c r="E211" s="170">
        <f t="shared" si="28"/>
        <v>11</v>
      </c>
      <c r="F211" s="170">
        <f t="shared" si="28"/>
        <v>3.3</v>
      </c>
      <c r="G211" s="206">
        <f t="shared" si="26"/>
        <v>-7.7</v>
      </c>
      <c r="H211" s="206">
        <f t="shared" si="27"/>
        <v>30</v>
      </c>
    </row>
    <row r="212" spans="1:10" ht="24.75" customHeight="1">
      <c r="A212" s="200"/>
      <c r="B212" s="111" t="s">
        <v>205</v>
      </c>
      <c r="C212" s="104"/>
      <c r="D212" s="112">
        <v>8.1</v>
      </c>
      <c r="E212" s="259">
        <v>11</v>
      </c>
      <c r="F212" s="112">
        <v>3.3</v>
      </c>
      <c r="G212" s="109">
        <f t="shared" si="26"/>
        <v>-7.7</v>
      </c>
      <c r="H212" s="109">
        <f t="shared" si="27"/>
        <v>30</v>
      </c>
    </row>
    <row r="213" spans="1:10" ht="28.5" customHeight="1">
      <c r="A213" s="155" t="s">
        <v>379</v>
      </c>
      <c r="B213" s="175" t="s">
        <v>92</v>
      </c>
      <c r="C213" s="107">
        <v>1020</v>
      </c>
      <c r="D213" s="108">
        <f t="shared" ref="D213:F214" si="29">D214</f>
        <v>0.5</v>
      </c>
      <c r="E213" s="108">
        <f t="shared" si="29"/>
        <v>1.5</v>
      </c>
      <c r="F213" s="108">
        <f t="shared" si="29"/>
        <v>0.9</v>
      </c>
      <c r="G213" s="113">
        <f t="shared" si="26"/>
        <v>-0.6</v>
      </c>
      <c r="H213" s="113">
        <f t="shared" si="27"/>
        <v>60</v>
      </c>
    </row>
    <row r="214" spans="1:10" ht="30" customHeight="1">
      <c r="A214" s="198" t="s">
        <v>380</v>
      </c>
      <c r="B214" s="183" t="s">
        <v>180</v>
      </c>
      <c r="C214" s="159">
        <v>1025</v>
      </c>
      <c r="D214" s="160">
        <f t="shared" si="29"/>
        <v>0.5</v>
      </c>
      <c r="E214" s="160">
        <f t="shared" si="29"/>
        <v>1.5</v>
      </c>
      <c r="F214" s="160">
        <f t="shared" si="29"/>
        <v>0.9</v>
      </c>
      <c r="G214" s="161">
        <f t="shared" si="26"/>
        <v>-0.6</v>
      </c>
      <c r="H214" s="161">
        <f t="shared" si="27"/>
        <v>60</v>
      </c>
    </row>
    <row r="215" spans="1:10" ht="24.75" customHeight="1">
      <c r="A215" s="155"/>
      <c r="B215" s="116" t="s">
        <v>206</v>
      </c>
      <c r="C215" s="163"/>
      <c r="D215" s="112">
        <v>0.5</v>
      </c>
      <c r="E215" s="112">
        <v>1.5</v>
      </c>
      <c r="F215" s="112">
        <v>0.9</v>
      </c>
      <c r="G215" s="109">
        <f t="shared" si="26"/>
        <v>-0.6</v>
      </c>
      <c r="H215" s="109">
        <f t="shared" si="27"/>
        <v>60</v>
      </c>
      <c r="J215" s="15" t="s">
        <v>311</v>
      </c>
    </row>
    <row r="216" spans="1:10" ht="24.75" customHeight="1">
      <c r="A216" s="221" t="s">
        <v>230</v>
      </c>
      <c r="B216" s="219" t="s">
        <v>256</v>
      </c>
      <c r="C216" s="227"/>
      <c r="D216" s="213">
        <f>D218</f>
        <v>15.5</v>
      </c>
      <c r="E216" s="213">
        <f>E218</f>
        <v>8.8000000000000007</v>
      </c>
      <c r="F216" s="213">
        <f>F218</f>
        <v>0</v>
      </c>
      <c r="G216" s="231">
        <f t="shared" si="26"/>
        <v>-8.8000000000000007</v>
      </c>
      <c r="H216" s="217">
        <f t="shared" si="27"/>
        <v>0</v>
      </c>
    </row>
    <row r="217" spans="1:10" ht="24.75" customHeight="1">
      <c r="A217" s="155"/>
      <c r="B217" s="154" t="s">
        <v>86</v>
      </c>
      <c r="C217" s="107"/>
      <c r="D217" s="112"/>
      <c r="E217" s="112"/>
      <c r="F217" s="112"/>
      <c r="G217" s="109">
        <f t="shared" si="26"/>
        <v>0</v>
      </c>
      <c r="H217" s="179" t="e">
        <f t="shared" si="27"/>
        <v>#DIV/0!</v>
      </c>
    </row>
    <row r="218" spans="1:10" ht="24.75" customHeight="1">
      <c r="A218" s="155" t="s">
        <v>381</v>
      </c>
      <c r="B218" s="175" t="s">
        <v>93</v>
      </c>
      <c r="C218" s="107">
        <v>1030</v>
      </c>
      <c r="D218" s="108">
        <f t="shared" ref="D218:F219" si="30">D219</f>
        <v>15.5</v>
      </c>
      <c r="E218" s="108">
        <f t="shared" si="30"/>
        <v>8.8000000000000007</v>
      </c>
      <c r="F218" s="108">
        <f t="shared" si="30"/>
        <v>0</v>
      </c>
      <c r="G218" s="113">
        <f t="shared" si="26"/>
        <v>-8.8000000000000007</v>
      </c>
      <c r="H218" s="176">
        <f t="shared" si="27"/>
        <v>0</v>
      </c>
    </row>
    <row r="219" spans="1:10" ht="24.75" customHeight="1">
      <c r="A219" s="198" t="s">
        <v>382</v>
      </c>
      <c r="B219" s="197" t="s">
        <v>93</v>
      </c>
      <c r="C219" s="159">
        <v>1035</v>
      </c>
      <c r="D219" s="160">
        <f t="shared" si="30"/>
        <v>15.5</v>
      </c>
      <c r="E219" s="160">
        <f t="shared" si="30"/>
        <v>8.8000000000000007</v>
      </c>
      <c r="F219" s="160">
        <f t="shared" si="30"/>
        <v>0</v>
      </c>
      <c r="G219" s="161">
        <f t="shared" si="26"/>
        <v>-8.8000000000000007</v>
      </c>
      <c r="H219" s="167">
        <f t="shared" si="27"/>
        <v>0</v>
      </c>
    </row>
    <row r="220" spans="1:10" ht="24.75" customHeight="1">
      <c r="A220" s="155"/>
      <c r="B220" s="116" t="s">
        <v>268</v>
      </c>
      <c r="C220" s="187"/>
      <c r="D220" s="112">
        <v>15.5</v>
      </c>
      <c r="E220" s="112">
        <v>8.8000000000000007</v>
      </c>
      <c r="F220" s="112"/>
      <c r="G220" s="109">
        <f t="shared" si="26"/>
        <v>-8.8000000000000007</v>
      </c>
      <c r="H220" s="179">
        <f t="shared" si="27"/>
        <v>0</v>
      </c>
    </row>
    <row r="221" spans="1:10" ht="24.75" customHeight="1">
      <c r="A221" s="221" t="s">
        <v>263</v>
      </c>
      <c r="B221" s="222" t="s">
        <v>227</v>
      </c>
      <c r="C221" s="215"/>
      <c r="D221" s="213">
        <f>D223</f>
        <v>355.40000000000003</v>
      </c>
      <c r="E221" s="213">
        <f>E223</f>
        <v>0</v>
      </c>
      <c r="F221" s="213">
        <f>F223</f>
        <v>1087</v>
      </c>
      <c r="G221" s="214">
        <f t="shared" si="26"/>
        <v>1087</v>
      </c>
      <c r="H221" s="217" t="e">
        <f t="shared" si="27"/>
        <v>#DIV/0!</v>
      </c>
    </row>
    <row r="222" spans="1:10" ht="24.75" customHeight="1">
      <c r="A222" s="200"/>
      <c r="B222" s="154" t="s">
        <v>86</v>
      </c>
      <c r="C222" s="104"/>
      <c r="D222" s="112"/>
      <c r="E222" s="112">
        <f>E224</f>
        <v>0</v>
      </c>
      <c r="F222" s="112"/>
      <c r="G222" s="113"/>
      <c r="H222" s="176"/>
    </row>
    <row r="223" spans="1:10" ht="24.75" customHeight="1">
      <c r="A223" s="155" t="s">
        <v>383</v>
      </c>
      <c r="B223" s="175" t="s">
        <v>90</v>
      </c>
      <c r="C223" s="107">
        <v>1010</v>
      </c>
      <c r="D223" s="108">
        <f>D224+D229</f>
        <v>355.40000000000003</v>
      </c>
      <c r="E223" s="108"/>
      <c r="F223" s="108">
        <f>F224+F229</f>
        <v>1087</v>
      </c>
      <c r="G223" s="113">
        <f t="shared" si="26"/>
        <v>1087</v>
      </c>
      <c r="H223" s="176" t="e">
        <f t="shared" si="27"/>
        <v>#DIV/0!</v>
      </c>
    </row>
    <row r="224" spans="1:10" ht="24.75" customHeight="1">
      <c r="A224" s="198" t="s">
        <v>384</v>
      </c>
      <c r="B224" s="183" t="s">
        <v>107</v>
      </c>
      <c r="C224" s="159">
        <v>1011</v>
      </c>
      <c r="D224" s="160">
        <f>SUM(D225:D227)</f>
        <v>332.90000000000003</v>
      </c>
      <c r="E224" s="160"/>
      <c r="F224" s="160">
        <f>SUM(F225:F228)</f>
        <v>948.3</v>
      </c>
      <c r="G224" s="161">
        <f t="shared" si="26"/>
        <v>948.3</v>
      </c>
      <c r="H224" s="167" t="e">
        <f t="shared" si="27"/>
        <v>#DIV/0!</v>
      </c>
    </row>
    <row r="225" spans="1:17" ht="24.75" customHeight="1">
      <c r="A225" s="155"/>
      <c r="B225" s="116" t="s">
        <v>217</v>
      </c>
      <c r="C225" s="187"/>
      <c r="D225" s="112">
        <v>287</v>
      </c>
      <c r="E225" s="112"/>
      <c r="F225" s="112">
        <f>1044.6-497.7</f>
        <v>546.89999999999986</v>
      </c>
      <c r="G225" s="109">
        <f t="shared" si="26"/>
        <v>546.89999999999986</v>
      </c>
      <c r="H225" s="179" t="e">
        <f t="shared" si="27"/>
        <v>#DIV/0!</v>
      </c>
    </row>
    <row r="226" spans="1:17" ht="24.75" customHeight="1">
      <c r="A226" s="155"/>
      <c r="B226" s="116" t="s">
        <v>140</v>
      </c>
      <c r="C226" s="187"/>
      <c r="D226" s="112">
        <v>44.3</v>
      </c>
      <c r="E226" s="112"/>
      <c r="F226" s="112">
        <v>111.2</v>
      </c>
      <c r="G226" s="109">
        <f t="shared" si="26"/>
        <v>111.2</v>
      </c>
      <c r="H226" s="179" t="e">
        <f t="shared" si="27"/>
        <v>#DIV/0!</v>
      </c>
    </row>
    <row r="227" spans="1:17" ht="40.5" customHeight="1">
      <c r="A227" s="155"/>
      <c r="B227" s="111" t="s">
        <v>218</v>
      </c>
      <c r="C227" s="187"/>
      <c r="D227" s="112">
        <v>1.6</v>
      </c>
      <c r="E227" s="112"/>
      <c r="F227" s="112">
        <f>24.1+266.1</f>
        <v>290.20000000000005</v>
      </c>
      <c r="G227" s="109">
        <f t="shared" si="26"/>
        <v>290.20000000000005</v>
      </c>
      <c r="H227" s="179" t="e">
        <f t="shared" si="27"/>
        <v>#DIV/0!</v>
      </c>
    </row>
    <row r="228" spans="1:17" ht="24.75" customHeight="1">
      <c r="A228" s="155"/>
      <c r="B228" s="111" t="s">
        <v>183</v>
      </c>
      <c r="C228" s="187"/>
      <c r="D228" s="112">
        <v>0.7</v>
      </c>
      <c r="E228" s="112"/>
      <c r="F228" s="112"/>
      <c r="G228" s="109">
        <f t="shared" si="26"/>
        <v>0</v>
      </c>
      <c r="H228" s="179" t="e">
        <f t="shared" si="27"/>
        <v>#DIV/0!</v>
      </c>
    </row>
    <row r="229" spans="1:17" ht="24.75" customHeight="1">
      <c r="A229" s="198" t="s">
        <v>385</v>
      </c>
      <c r="B229" s="199" t="s">
        <v>98</v>
      </c>
      <c r="C229" s="195">
        <v>1015</v>
      </c>
      <c r="D229" s="160">
        <f>SUM(D230:D230)</f>
        <v>22.5</v>
      </c>
      <c r="E229" s="160"/>
      <c r="F229" s="160">
        <f>SUM(F230:F232)</f>
        <v>138.69999999999999</v>
      </c>
      <c r="G229" s="161">
        <f t="shared" si="26"/>
        <v>138.69999999999999</v>
      </c>
      <c r="H229" s="167" t="e">
        <f t="shared" si="27"/>
        <v>#DIV/0!</v>
      </c>
    </row>
    <row r="230" spans="1:17" ht="24.75" customHeight="1">
      <c r="A230" s="155"/>
      <c r="B230" s="111" t="s">
        <v>170</v>
      </c>
      <c r="C230" s="104"/>
      <c r="D230" s="112">
        <v>22.5</v>
      </c>
      <c r="E230" s="112"/>
      <c r="F230" s="112">
        <v>132.6</v>
      </c>
      <c r="G230" s="109">
        <f t="shared" si="26"/>
        <v>132.6</v>
      </c>
      <c r="H230" s="179" t="e">
        <f t="shared" si="27"/>
        <v>#DIV/0!</v>
      </c>
    </row>
    <row r="231" spans="1:17" ht="24.75" customHeight="1">
      <c r="A231" s="155"/>
      <c r="B231" s="111" t="s">
        <v>205</v>
      </c>
      <c r="C231" s="104"/>
      <c r="D231" s="112"/>
      <c r="E231" s="112"/>
      <c r="F231" s="112">
        <v>0.9</v>
      </c>
      <c r="G231" s="109">
        <f t="shared" si="26"/>
        <v>0.9</v>
      </c>
      <c r="H231" s="179" t="e">
        <f t="shared" si="27"/>
        <v>#DIV/0!</v>
      </c>
    </row>
    <row r="232" spans="1:17" ht="24.75" customHeight="1">
      <c r="A232" s="155"/>
      <c r="B232" s="111" t="s">
        <v>178</v>
      </c>
      <c r="C232" s="104"/>
      <c r="D232" s="112"/>
      <c r="E232" s="112"/>
      <c r="F232" s="112">
        <v>5.2</v>
      </c>
      <c r="G232" s="109">
        <f t="shared" si="26"/>
        <v>5.2</v>
      </c>
      <c r="H232" s="179" t="e">
        <f t="shared" si="27"/>
        <v>#DIV/0!</v>
      </c>
    </row>
    <row r="233" spans="1:17" ht="24.75" customHeight="1">
      <c r="A233" s="221" t="s">
        <v>264</v>
      </c>
      <c r="B233" s="219" t="s">
        <v>227</v>
      </c>
      <c r="C233" s="211"/>
      <c r="D233" s="213">
        <f>D235</f>
        <v>0</v>
      </c>
      <c r="E233" s="213">
        <f>E235</f>
        <v>0</v>
      </c>
      <c r="F233" s="213">
        <f>F235</f>
        <v>497.7</v>
      </c>
      <c r="G233" s="214">
        <f t="shared" ref="G233" si="31">F233-E233</f>
        <v>497.7</v>
      </c>
      <c r="H233" s="220" t="e">
        <f t="shared" ref="H233" si="32">(F233/E233)*100</f>
        <v>#DIV/0!</v>
      </c>
      <c r="O233" s="244"/>
      <c r="P233" s="244"/>
      <c r="Q233" s="244"/>
    </row>
    <row r="234" spans="1:17" ht="24.75" customHeight="1">
      <c r="A234" s="155"/>
      <c r="B234" s="193" t="s">
        <v>86</v>
      </c>
      <c r="C234" s="104"/>
      <c r="D234" s="112"/>
      <c r="E234" s="112">
        <f>E236</f>
        <v>0</v>
      </c>
      <c r="F234" s="112"/>
      <c r="G234" s="109"/>
      <c r="H234" s="179"/>
      <c r="O234" s="244"/>
      <c r="P234" s="244"/>
      <c r="Q234" s="244"/>
    </row>
    <row r="235" spans="1:17" ht="24.75" customHeight="1">
      <c r="A235" s="155" t="s">
        <v>368</v>
      </c>
      <c r="B235" s="180" t="s">
        <v>90</v>
      </c>
      <c r="C235" s="245">
        <v>1010</v>
      </c>
      <c r="D235" s="108">
        <v>0</v>
      </c>
      <c r="E235" s="108"/>
      <c r="F235" s="108">
        <f>F236</f>
        <v>497.7</v>
      </c>
      <c r="G235" s="113">
        <f t="shared" ref="G235:G237" si="33">F235-E235</f>
        <v>497.7</v>
      </c>
      <c r="H235" s="176" t="e">
        <f t="shared" ref="H235:H237" si="34">(F235/E235)*100</f>
        <v>#DIV/0!</v>
      </c>
      <c r="O235" s="244"/>
      <c r="P235" s="244"/>
      <c r="Q235" s="244"/>
    </row>
    <row r="236" spans="1:17" ht="24.75" customHeight="1">
      <c r="A236" s="198" t="s">
        <v>369</v>
      </c>
      <c r="B236" s="158" t="s">
        <v>107</v>
      </c>
      <c r="C236" s="195">
        <v>1011</v>
      </c>
      <c r="D236" s="160">
        <f>SUM(D237:D237)</f>
        <v>0</v>
      </c>
      <c r="E236" s="160"/>
      <c r="F236" s="160">
        <f>SUM(F237:F237)</f>
        <v>497.7</v>
      </c>
      <c r="G236" s="161">
        <f t="shared" si="33"/>
        <v>497.7</v>
      </c>
      <c r="H236" s="167" t="e">
        <f t="shared" si="34"/>
        <v>#DIV/0!</v>
      </c>
      <c r="O236" s="244"/>
      <c r="P236" s="244"/>
      <c r="Q236" s="244"/>
    </row>
    <row r="237" spans="1:17" ht="24.75" customHeight="1">
      <c r="A237" s="155"/>
      <c r="B237" s="111" t="s">
        <v>217</v>
      </c>
      <c r="C237" s="104"/>
      <c r="D237" s="112">
        <v>0</v>
      </c>
      <c r="E237" s="112"/>
      <c r="F237" s="112">
        <v>497.7</v>
      </c>
      <c r="G237" s="109">
        <f t="shared" si="33"/>
        <v>497.7</v>
      </c>
      <c r="H237" s="179" t="e">
        <f t="shared" si="34"/>
        <v>#DIV/0!</v>
      </c>
      <c r="O237" s="244"/>
      <c r="P237" s="244"/>
      <c r="Q237" s="244"/>
    </row>
    <row r="238" spans="1:17" ht="24.75" customHeight="1">
      <c r="A238" s="221" t="s">
        <v>265</v>
      </c>
      <c r="B238" s="219" t="s">
        <v>231</v>
      </c>
      <c r="C238" s="211"/>
      <c r="D238" s="213">
        <f>D240+D256</f>
        <v>288.40000000000003</v>
      </c>
      <c r="E238" s="213">
        <f>E240+E256</f>
        <v>0</v>
      </c>
      <c r="F238" s="251">
        <f>F240+F256+F269</f>
        <v>107.2</v>
      </c>
      <c r="G238" s="231">
        <f t="shared" si="26"/>
        <v>107.2</v>
      </c>
      <c r="H238" s="217" t="e">
        <f t="shared" si="27"/>
        <v>#DIV/0!</v>
      </c>
      <c r="J238" s="114"/>
    </row>
    <row r="239" spans="1:17" ht="24.75" customHeight="1">
      <c r="A239" s="155"/>
      <c r="B239" s="193" t="s">
        <v>86</v>
      </c>
      <c r="C239" s="107"/>
      <c r="D239" s="112"/>
      <c r="E239" s="112"/>
      <c r="F239" s="112"/>
      <c r="G239" s="109"/>
      <c r="H239" s="179"/>
    </row>
    <row r="240" spans="1:17" ht="24.75" customHeight="1">
      <c r="A240" s="155" t="s">
        <v>386</v>
      </c>
      <c r="B240" s="175" t="s">
        <v>90</v>
      </c>
      <c r="C240" s="107">
        <v>1010</v>
      </c>
      <c r="D240" s="108">
        <f>D241+D247+D248</f>
        <v>240.60000000000002</v>
      </c>
      <c r="E240" s="108">
        <f>E241+E247+E248</f>
        <v>0</v>
      </c>
      <c r="F240" s="108">
        <f>F241+F247+F248</f>
        <v>54.2</v>
      </c>
      <c r="G240" s="113">
        <f t="shared" si="26"/>
        <v>54.2</v>
      </c>
      <c r="H240" s="176" t="e">
        <f t="shared" si="27"/>
        <v>#DIV/0!</v>
      </c>
    </row>
    <row r="241" spans="1:8" ht="27.75" customHeight="1">
      <c r="A241" s="198" t="s">
        <v>387</v>
      </c>
      <c r="B241" s="183" t="s">
        <v>107</v>
      </c>
      <c r="C241" s="159">
        <v>1011</v>
      </c>
      <c r="D241" s="160">
        <f>SUM(D242:D246)</f>
        <v>219.50000000000003</v>
      </c>
      <c r="E241" s="160">
        <f>SUM(E242:E246)</f>
        <v>0</v>
      </c>
      <c r="F241" s="160">
        <f>SUM(F242:F246)</f>
        <v>21.7</v>
      </c>
      <c r="G241" s="161">
        <f t="shared" si="26"/>
        <v>21.7</v>
      </c>
      <c r="H241" s="167" t="e">
        <f t="shared" si="27"/>
        <v>#DIV/0!</v>
      </c>
    </row>
    <row r="242" spans="1:8" ht="24.75" customHeight="1">
      <c r="A242" s="155"/>
      <c r="B242" s="116" t="s">
        <v>183</v>
      </c>
      <c r="C242" s="187"/>
      <c r="D242" s="112">
        <v>2.9</v>
      </c>
      <c r="E242" s="112"/>
      <c r="F242" s="112"/>
      <c r="G242" s="109">
        <f t="shared" si="26"/>
        <v>0</v>
      </c>
      <c r="H242" s="179" t="e">
        <f t="shared" si="27"/>
        <v>#DIV/0!</v>
      </c>
    </row>
    <row r="243" spans="1:8" ht="24.75" customHeight="1">
      <c r="A243" s="200"/>
      <c r="B243" s="116" t="s">
        <v>232</v>
      </c>
      <c r="C243" s="187"/>
      <c r="D243" s="112">
        <v>164.9</v>
      </c>
      <c r="E243" s="112"/>
      <c r="F243" s="112">
        <v>7.5</v>
      </c>
      <c r="G243" s="109">
        <f t="shared" si="26"/>
        <v>7.5</v>
      </c>
      <c r="H243" s="179" t="e">
        <f t="shared" si="27"/>
        <v>#DIV/0!</v>
      </c>
    </row>
    <row r="244" spans="1:8" ht="24.75" customHeight="1">
      <c r="A244" s="200"/>
      <c r="B244" s="116" t="s">
        <v>140</v>
      </c>
      <c r="C244" s="187"/>
      <c r="D244" s="112">
        <v>16.8</v>
      </c>
      <c r="E244" s="112"/>
      <c r="F244" s="112"/>
      <c r="G244" s="109">
        <f t="shared" si="26"/>
        <v>0</v>
      </c>
      <c r="H244" s="179" t="e">
        <f t="shared" si="27"/>
        <v>#DIV/0!</v>
      </c>
    </row>
    <row r="245" spans="1:8" ht="42" customHeight="1">
      <c r="A245" s="200"/>
      <c r="B245" s="111" t="s">
        <v>218</v>
      </c>
      <c r="C245" s="187"/>
      <c r="D245" s="112">
        <v>22.4</v>
      </c>
      <c r="E245" s="112"/>
      <c r="F245" s="112">
        <v>2</v>
      </c>
      <c r="G245" s="109">
        <f t="shared" si="26"/>
        <v>2</v>
      </c>
      <c r="H245" s="179" t="e">
        <f t="shared" si="27"/>
        <v>#DIV/0!</v>
      </c>
    </row>
    <row r="246" spans="1:8" ht="24.75" customHeight="1">
      <c r="A246" s="200"/>
      <c r="B246" s="111" t="s">
        <v>228</v>
      </c>
      <c r="C246" s="187"/>
      <c r="D246" s="112">
        <v>12.5</v>
      </c>
      <c r="E246" s="112"/>
      <c r="F246" s="112">
        <v>12.2</v>
      </c>
      <c r="G246" s="109">
        <f t="shared" si="26"/>
        <v>12.2</v>
      </c>
      <c r="H246" s="179" t="e">
        <f t="shared" si="27"/>
        <v>#DIV/0!</v>
      </c>
    </row>
    <row r="247" spans="1:8" ht="24.75" customHeight="1">
      <c r="A247" s="198" t="s">
        <v>388</v>
      </c>
      <c r="B247" s="183" t="s">
        <v>4</v>
      </c>
      <c r="C247" s="195">
        <v>1014</v>
      </c>
      <c r="D247" s="160">
        <v>4.9000000000000004</v>
      </c>
      <c r="E247" s="160"/>
      <c r="F247" s="160">
        <v>3.8</v>
      </c>
      <c r="G247" s="161">
        <f t="shared" si="26"/>
        <v>3.8</v>
      </c>
      <c r="H247" s="167" t="e">
        <f t="shared" si="27"/>
        <v>#DIV/0!</v>
      </c>
    </row>
    <row r="248" spans="1:8" ht="24.75" customHeight="1">
      <c r="A248" s="198" t="s">
        <v>389</v>
      </c>
      <c r="B248" s="199" t="s">
        <v>98</v>
      </c>
      <c r="C248" s="195">
        <v>1015</v>
      </c>
      <c r="D248" s="160">
        <f>SUM(D249:D255)</f>
        <v>16.2</v>
      </c>
      <c r="E248" s="160">
        <f>SUM(E249:E255)</f>
        <v>0</v>
      </c>
      <c r="F248" s="160">
        <f>SUM(F249:F255)</f>
        <v>28.7</v>
      </c>
      <c r="G248" s="161">
        <f t="shared" si="26"/>
        <v>28.7</v>
      </c>
      <c r="H248" s="167" t="e">
        <f t="shared" si="27"/>
        <v>#DIV/0!</v>
      </c>
    </row>
    <row r="249" spans="1:8" ht="24.75" customHeight="1">
      <c r="A249" s="155"/>
      <c r="B249" s="111" t="s">
        <v>150</v>
      </c>
      <c r="C249" s="107"/>
      <c r="D249" s="112">
        <v>4.3</v>
      </c>
      <c r="E249" s="112"/>
      <c r="F249" s="112"/>
      <c r="G249" s="109">
        <f t="shared" si="26"/>
        <v>0</v>
      </c>
      <c r="H249" s="179" t="e">
        <f t="shared" si="27"/>
        <v>#DIV/0!</v>
      </c>
    </row>
    <row r="250" spans="1:8" ht="24.75" customHeight="1">
      <c r="A250" s="155"/>
      <c r="B250" s="111" t="s">
        <v>151</v>
      </c>
      <c r="C250" s="107"/>
      <c r="D250" s="112">
        <v>4.4000000000000004</v>
      </c>
      <c r="E250" s="112"/>
      <c r="F250" s="112">
        <v>1.1000000000000001</v>
      </c>
      <c r="G250" s="109">
        <f t="shared" si="26"/>
        <v>1.1000000000000001</v>
      </c>
      <c r="H250" s="179" t="e">
        <f t="shared" si="27"/>
        <v>#DIV/0!</v>
      </c>
    </row>
    <row r="251" spans="1:8" ht="24.75" customHeight="1">
      <c r="A251" s="155"/>
      <c r="B251" s="111" t="s">
        <v>155</v>
      </c>
      <c r="C251" s="187"/>
      <c r="D251" s="112">
        <v>0.6</v>
      </c>
      <c r="E251" s="112"/>
      <c r="F251" s="112">
        <v>1.8</v>
      </c>
      <c r="G251" s="109">
        <f t="shared" si="26"/>
        <v>1.8</v>
      </c>
      <c r="H251" s="179" t="e">
        <f t="shared" si="27"/>
        <v>#DIV/0!</v>
      </c>
    </row>
    <row r="252" spans="1:8" ht="24.75" customHeight="1">
      <c r="A252" s="155"/>
      <c r="B252" s="111" t="s">
        <v>365</v>
      </c>
      <c r="C252" s="187"/>
      <c r="D252" s="112"/>
      <c r="E252" s="112"/>
      <c r="F252" s="112">
        <v>1.4</v>
      </c>
      <c r="G252" s="109">
        <f t="shared" si="26"/>
        <v>1.4</v>
      </c>
      <c r="H252" s="179" t="e">
        <f t="shared" si="27"/>
        <v>#DIV/0!</v>
      </c>
    </row>
    <row r="253" spans="1:8" ht="24.75" customHeight="1">
      <c r="A253" s="155"/>
      <c r="B253" s="111" t="s">
        <v>169</v>
      </c>
      <c r="C253" s="187"/>
      <c r="D253" s="112"/>
      <c r="E253" s="112"/>
      <c r="F253" s="112">
        <v>7.2</v>
      </c>
      <c r="G253" s="109">
        <f t="shared" si="26"/>
        <v>7.2</v>
      </c>
      <c r="H253" s="179" t="e">
        <f t="shared" si="27"/>
        <v>#DIV/0!</v>
      </c>
    </row>
    <row r="254" spans="1:8" ht="24.75" customHeight="1">
      <c r="A254" s="155"/>
      <c r="B254" s="111" t="s">
        <v>247</v>
      </c>
      <c r="C254" s="187"/>
      <c r="D254" s="112"/>
      <c r="E254" s="112"/>
      <c r="F254" s="112">
        <v>17.2</v>
      </c>
      <c r="G254" s="109">
        <f t="shared" si="26"/>
        <v>17.2</v>
      </c>
      <c r="H254" s="179" t="e">
        <f t="shared" si="27"/>
        <v>#DIV/0!</v>
      </c>
    </row>
    <row r="255" spans="1:8" ht="24.75" customHeight="1">
      <c r="A255" s="155"/>
      <c r="B255" s="207" t="s">
        <v>233</v>
      </c>
      <c r="C255" s="187"/>
      <c r="D255" s="112">
        <v>6.9</v>
      </c>
      <c r="E255" s="112"/>
      <c r="F255" s="112"/>
      <c r="G255" s="109">
        <f t="shared" si="26"/>
        <v>0</v>
      </c>
      <c r="H255" s="179" t="e">
        <f t="shared" si="27"/>
        <v>#DIV/0!</v>
      </c>
    </row>
    <row r="256" spans="1:8" ht="24.75" customHeight="1">
      <c r="A256" s="155" t="s">
        <v>390</v>
      </c>
      <c r="B256" s="175" t="s">
        <v>92</v>
      </c>
      <c r="C256" s="107">
        <v>1020</v>
      </c>
      <c r="D256" s="108">
        <f>D257+D260</f>
        <v>47.800000000000004</v>
      </c>
      <c r="E256" s="108">
        <f>E257+E260</f>
        <v>0</v>
      </c>
      <c r="F256" s="108">
        <f>F257+F260</f>
        <v>26</v>
      </c>
      <c r="G256" s="113">
        <f t="shared" si="26"/>
        <v>26</v>
      </c>
      <c r="H256" s="176" t="e">
        <f t="shared" si="27"/>
        <v>#DIV/0!</v>
      </c>
    </row>
    <row r="257" spans="1:8" ht="24.75" customHeight="1">
      <c r="A257" s="198" t="s">
        <v>391</v>
      </c>
      <c r="B257" s="197" t="s">
        <v>107</v>
      </c>
      <c r="C257" s="195">
        <v>1021</v>
      </c>
      <c r="D257" s="160">
        <f>D258+D259</f>
        <v>9.5</v>
      </c>
      <c r="E257" s="160">
        <f>E258+E259</f>
        <v>0</v>
      </c>
      <c r="F257" s="160">
        <f>F258+F259</f>
        <v>3.5</v>
      </c>
      <c r="G257" s="161">
        <f t="shared" si="26"/>
        <v>3.5</v>
      </c>
      <c r="H257" s="167" t="e">
        <f t="shared" si="27"/>
        <v>#DIV/0!</v>
      </c>
    </row>
    <row r="258" spans="1:8" ht="24.75" customHeight="1">
      <c r="A258" s="155"/>
      <c r="B258" s="207" t="s">
        <v>228</v>
      </c>
      <c r="C258" s="107"/>
      <c r="D258" s="112">
        <v>9.1</v>
      </c>
      <c r="E258" s="112"/>
      <c r="F258" s="112">
        <v>3.5</v>
      </c>
      <c r="G258" s="109">
        <f t="shared" si="26"/>
        <v>3.5</v>
      </c>
      <c r="H258" s="179" t="e">
        <f t="shared" si="27"/>
        <v>#DIV/0!</v>
      </c>
    </row>
    <row r="259" spans="1:8" ht="36" customHeight="1">
      <c r="A259" s="155"/>
      <c r="B259" s="207" t="s">
        <v>218</v>
      </c>
      <c r="C259" s="107"/>
      <c r="D259" s="112">
        <v>0.4</v>
      </c>
      <c r="E259" s="112"/>
      <c r="F259" s="112"/>
      <c r="G259" s="109">
        <f t="shared" si="26"/>
        <v>0</v>
      </c>
      <c r="H259" s="179" t="e">
        <f t="shared" si="27"/>
        <v>#DIV/0!</v>
      </c>
    </row>
    <row r="260" spans="1:8" ht="24.75" customHeight="1">
      <c r="A260" s="198" t="s">
        <v>392</v>
      </c>
      <c r="B260" s="183" t="s">
        <v>180</v>
      </c>
      <c r="C260" s="159">
        <v>1025</v>
      </c>
      <c r="D260" s="160">
        <f>SUM(D261:D268)</f>
        <v>38.300000000000004</v>
      </c>
      <c r="E260" s="160">
        <f>SUM(E261:E268)</f>
        <v>0</v>
      </c>
      <c r="F260" s="160">
        <f>SUM(F261:F268)</f>
        <v>22.5</v>
      </c>
      <c r="G260" s="161">
        <f t="shared" si="26"/>
        <v>22.5</v>
      </c>
      <c r="H260" s="167" t="e">
        <f t="shared" si="27"/>
        <v>#DIV/0!</v>
      </c>
    </row>
    <row r="261" spans="1:8" ht="24.75" customHeight="1">
      <c r="A261" s="155"/>
      <c r="B261" s="116" t="s">
        <v>155</v>
      </c>
      <c r="C261" s="187"/>
      <c r="D261" s="112">
        <v>1.3</v>
      </c>
      <c r="E261" s="112"/>
      <c r="F261" s="112">
        <v>1.4</v>
      </c>
      <c r="G261" s="109">
        <f t="shared" si="26"/>
        <v>1.4</v>
      </c>
      <c r="H261" s="179" t="e">
        <f t="shared" si="27"/>
        <v>#DIV/0!</v>
      </c>
    </row>
    <row r="262" spans="1:8" ht="40.5" customHeight="1">
      <c r="A262" s="155"/>
      <c r="B262" s="111" t="s">
        <v>229</v>
      </c>
      <c r="C262" s="163"/>
      <c r="D262" s="112">
        <v>8.4</v>
      </c>
      <c r="E262" s="112"/>
      <c r="F262" s="112">
        <v>17.8</v>
      </c>
      <c r="G262" s="109">
        <f t="shared" si="26"/>
        <v>17.8</v>
      </c>
      <c r="H262" s="179" t="e">
        <f t="shared" si="27"/>
        <v>#DIV/0!</v>
      </c>
    </row>
    <row r="263" spans="1:8" ht="27.75" customHeight="1">
      <c r="A263" s="155"/>
      <c r="B263" s="111" t="s">
        <v>174</v>
      </c>
      <c r="C263" s="163"/>
      <c r="D263" s="112">
        <v>1</v>
      </c>
      <c r="E263" s="112"/>
      <c r="F263" s="112">
        <v>1.5</v>
      </c>
      <c r="G263" s="109">
        <f t="shared" si="26"/>
        <v>1.5</v>
      </c>
      <c r="H263" s="179" t="e">
        <f t="shared" si="27"/>
        <v>#DIV/0!</v>
      </c>
    </row>
    <row r="264" spans="1:8" ht="24" customHeight="1">
      <c r="A264" s="155"/>
      <c r="B264" s="111" t="s">
        <v>206</v>
      </c>
      <c r="C264" s="163"/>
      <c r="D264" s="112">
        <v>0.3</v>
      </c>
      <c r="E264" s="112"/>
      <c r="F264" s="112">
        <v>0.2</v>
      </c>
      <c r="G264" s="109">
        <f t="shared" si="26"/>
        <v>0.2</v>
      </c>
      <c r="H264" s="179" t="e">
        <f t="shared" si="27"/>
        <v>#DIV/0!</v>
      </c>
    </row>
    <row r="265" spans="1:8" ht="24" customHeight="1">
      <c r="A265" s="155"/>
      <c r="B265" s="111" t="s">
        <v>160</v>
      </c>
      <c r="C265" s="163"/>
      <c r="D265" s="112"/>
      <c r="E265" s="112"/>
      <c r="F265" s="112">
        <v>1.6</v>
      </c>
      <c r="G265" s="109">
        <f t="shared" si="26"/>
        <v>1.6</v>
      </c>
      <c r="H265" s="179" t="e">
        <f t="shared" si="27"/>
        <v>#DIV/0!</v>
      </c>
    </row>
    <row r="266" spans="1:8" ht="28.5" customHeight="1">
      <c r="A266" s="155"/>
      <c r="B266" s="111" t="s">
        <v>235</v>
      </c>
      <c r="C266" s="163"/>
      <c r="D266" s="112">
        <v>3.3</v>
      </c>
      <c r="E266" s="112"/>
      <c r="F266" s="112"/>
      <c r="G266" s="109">
        <f t="shared" si="26"/>
        <v>0</v>
      </c>
      <c r="H266" s="179" t="e">
        <f t="shared" si="27"/>
        <v>#DIV/0!</v>
      </c>
    </row>
    <row r="267" spans="1:8" ht="28.5" customHeight="1">
      <c r="A267" s="155"/>
      <c r="B267" s="111" t="s">
        <v>244</v>
      </c>
      <c r="C267" s="163"/>
      <c r="D267" s="112">
        <v>0.4</v>
      </c>
      <c r="E267" s="112"/>
      <c r="F267" s="112"/>
      <c r="G267" s="109">
        <f t="shared" si="26"/>
        <v>0</v>
      </c>
      <c r="H267" s="179" t="e">
        <f t="shared" si="27"/>
        <v>#DIV/0!</v>
      </c>
    </row>
    <row r="268" spans="1:8" ht="22.5" customHeight="1">
      <c r="A268" s="155"/>
      <c r="B268" s="111" t="s">
        <v>234</v>
      </c>
      <c r="C268" s="163"/>
      <c r="D268" s="112">
        <v>23.6</v>
      </c>
      <c r="E268" s="112"/>
      <c r="F268" s="112"/>
      <c r="G268" s="109">
        <f t="shared" si="26"/>
        <v>0</v>
      </c>
      <c r="H268" s="179" t="e">
        <f t="shared" si="27"/>
        <v>#DIV/0!</v>
      </c>
    </row>
    <row r="269" spans="1:8" ht="26.25" customHeight="1">
      <c r="A269" s="155" t="s">
        <v>393</v>
      </c>
      <c r="B269" s="180" t="s">
        <v>366</v>
      </c>
      <c r="C269" s="187">
        <v>1030</v>
      </c>
      <c r="D269" s="112"/>
      <c r="E269" s="112"/>
      <c r="F269" s="108">
        <f>F270</f>
        <v>27</v>
      </c>
      <c r="G269" s="109">
        <f t="shared" ref="G269:G280" si="35">F269-E269</f>
        <v>27</v>
      </c>
      <c r="H269" s="179" t="e">
        <f t="shared" ref="H269:H280" si="36">(F269/E269)*100</f>
        <v>#DIV/0!</v>
      </c>
    </row>
    <row r="270" spans="1:8" ht="26.25" customHeight="1">
      <c r="A270" s="198" t="s">
        <v>394</v>
      </c>
      <c r="B270" s="158" t="s">
        <v>366</v>
      </c>
      <c r="C270" s="159">
        <v>1035</v>
      </c>
      <c r="D270" s="112"/>
      <c r="E270" s="112"/>
      <c r="F270" s="160">
        <f>F271+F272</f>
        <v>27</v>
      </c>
      <c r="G270" s="109">
        <f t="shared" si="35"/>
        <v>27</v>
      </c>
      <c r="H270" s="179" t="e">
        <f t="shared" si="36"/>
        <v>#DIV/0!</v>
      </c>
    </row>
    <row r="271" spans="1:8" ht="22.5" customHeight="1">
      <c r="A271" s="155"/>
      <c r="B271" s="111" t="s">
        <v>223</v>
      </c>
      <c r="C271" s="163"/>
      <c r="D271" s="112"/>
      <c r="E271" s="112"/>
      <c r="F271" s="112">
        <v>25.9</v>
      </c>
      <c r="G271" s="109">
        <f t="shared" si="35"/>
        <v>25.9</v>
      </c>
      <c r="H271" s="179" t="e">
        <f t="shared" si="36"/>
        <v>#DIV/0!</v>
      </c>
    </row>
    <row r="272" spans="1:8" ht="22.5" customHeight="1">
      <c r="A272" s="155"/>
      <c r="B272" s="111" t="s">
        <v>324</v>
      </c>
      <c r="C272" s="163"/>
      <c r="D272" s="112"/>
      <c r="E272" s="112"/>
      <c r="F272" s="112">
        <v>1.1000000000000001</v>
      </c>
      <c r="G272" s="109">
        <f t="shared" si="35"/>
        <v>1.1000000000000001</v>
      </c>
      <c r="H272" s="179" t="e">
        <f t="shared" si="36"/>
        <v>#DIV/0!</v>
      </c>
    </row>
    <row r="273" spans="1:17" ht="24.75" customHeight="1">
      <c r="A273" s="221" t="s">
        <v>236</v>
      </c>
      <c r="B273" s="229" t="s">
        <v>237</v>
      </c>
      <c r="C273" s="227"/>
      <c r="D273" s="213">
        <f>D275+D278</f>
        <v>724.1</v>
      </c>
      <c r="E273" s="213">
        <f>E275+E278</f>
        <v>715</v>
      </c>
      <c r="F273" s="213">
        <f>F275+F278</f>
        <v>1053.2</v>
      </c>
      <c r="G273" s="231">
        <f t="shared" si="35"/>
        <v>338.20000000000005</v>
      </c>
      <c r="H273" s="217">
        <f t="shared" si="36"/>
        <v>147.30069930069931</v>
      </c>
    </row>
    <row r="274" spans="1:17" ht="24.75" customHeight="1">
      <c r="A274" s="155"/>
      <c r="B274" s="154" t="s">
        <v>86</v>
      </c>
      <c r="C274" s="187"/>
      <c r="D274" s="112"/>
      <c r="E274" s="112"/>
      <c r="F274" s="112"/>
      <c r="G274" s="109"/>
      <c r="H274" s="179" t="e">
        <f t="shared" si="36"/>
        <v>#DIV/0!</v>
      </c>
    </row>
    <row r="275" spans="1:17" ht="24.75" customHeight="1">
      <c r="A275" s="155" t="s">
        <v>395</v>
      </c>
      <c r="B275" s="128" t="s">
        <v>90</v>
      </c>
      <c r="C275" s="187">
        <v>1010</v>
      </c>
      <c r="D275" s="108">
        <f t="shared" ref="D275:F276" si="37">D276</f>
        <v>280</v>
      </c>
      <c r="E275" s="108">
        <f t="shared" si="37"/>
        <v>450</v>
      </c>
      <c r="F275" s="108">
        <f t="shared" si="37"/>
        <v>939.9</v>
      </c>
      <c r="G275" s="113">
        <f t="shared" si="35"/>
        <v>489.9</v>
      </c>
      <c r="H275" s="113">
        <f t="shared" si="36"/>
        <v>208.86666666666667</v>
      </c>
      <c r="I275" s="168"/>
    </row>
    <row r="276" spans="1:17" ht="24.75" customHeight="1">
      <c r="A276" s="198" t="s">
        <v>396</v>
      </c>
      <c r="B276" s="199" t="s">
        <v>4</v>
      </c>
      <c r="C276" s="159">
        <v>1014</v>
      </c>
      <c r="D276" s="160">
        <f t="shared" si="37"/>
        <v>280</v>
      </c>
      <c r="E276" s="160">
        <f t="shared" si="37"/>
        <v>450</v>
      </c>
      <c r="F276" s="160">
        <f t="shared" si="37"/>
        <v>939.9</v>
      </c>
      <c r="G276" s="161">
        <f t="shared" si="35"/>
        <v>489.9</v>
      </c>
      <c r="H276" s="161">
        <f t="shared" si="36"/>
        <v>208.86666666666667</v>
      </c>
    </row>
    <row r="277" spans="1:17" ht="24.75" customHeight="1">
      <c r="A277" s="155"/>
      <c r="B277" s="207" t="s">
        <v>238</v>
      </c>
      <c r="C277" s="187"/>
      <c r="D277" s="112">
        <v>280</v>
      </c>
      <c r="E277" s="112">
        <v>450</v>
      </c>
      <c r="F277" s="112">
        <v>939.9</v>
      </c>
      <c r="G277" s="109">
        <f t="shared" si="35"/>
        <v>489.9</v>
      </c>
      <c r="H277" s="109">
        <f t="shared" si="36"/>
        <v>208.86666666666667</v>
      </c>
    </row>
    <row r="278" spans="1:17" ht="24.75" customHeight="1">
      <c r="A278" s="155" t="s">
        <v>397</v>
      </c>
      <c r="B278" s="128" t="s">
        <v>92</v>
      </c>
      <c r="C278" s="187">
        <v>1020</v>
      </c>
      <c r="D278" s="108">
        <f t="shared" ref="D278:F279" si="38">D279</f>
        <v>444.1</v>
      </c>
      <c r="E278" s="108">
        <f t="shared" si="38"/>
        <v>265</v>
      </c>
      <c r="F278" s="108">
        <f t="shared" si="38"/>
        <v>113.3</v>
      </c>
      <c r="G278" s="113">
        <f t="shared" si="35"/>
        <v>-151.69999999999999</v>
      </c>
      <c r="H278" s="113">
        <f t="shared" si="36"/>
        <v>42.754716981132077</v>
      </c>
      <c r="J278" s="114"/>
    </row>
    <row r="279" spans="1:17" ht="24.75" customHeight="1">
      <c r="A279" s="198" t="s">
        <v>398</v>
      </c>
      <c r="B279" s="199" t="s">
        <v>4</v>
      </c>
      <c r="C279" s="159">
        <v>1024</v>
      </c>
      <c r="D279" s="160">
        <f t="shared" si="38"/>
        <v>444.1</v>
      </c>
      <c r="E279" s="160">
        <f t="shared" si="38"/>
        <v>265</v>
      </c>
      <c r="F279" s="160">
        <f t="shared" si="38"/>
        <v>113.3</v>
      </c>
      <c r="G279" s="161">
        <f t="shared" si="35"/>
        <v>-151.69999999999999</v>
      </c>
      <c r="H279" s="161">
        <f t="shared" si="36"/>
        <v>42.754716981132077</v>
      </c>
    </row>
    <row r="280" spans="1:17" ht="27.75" customHeight="1">
      <c r="A280" s="122"/>
      <c r="B280" s="207" t="s">
        <v>327</v>
      </c>
      <c r="C280" s="18"/>
      <c r="D280" s="208">
        <v>444.1</v>
      </c>
      <c r="E280" s="208">
        <v>265</v>
      </c>
      <c r="F280" s="208">
        <v>113.3</v>
      </c>
      <c r="G280" s="122">
        <f t="shared" si="35"/>
        <v>-151.69999999999999</v>
      </c>
      <c r="H280" s="246">
        <f t="shared" si="36"/>
        <v>42.754716981132077</v>
      </c>
    </row>
    <row r="281" spans="1:17" ht="102" customHeight="1">
      <c r="B281" s="209" t="s">
        <v>258</v>
      </c>
      <c r="C281" s="131"/>
      <c r="D281" s="283"/>
      <c r="E281" s="283"/>
      <c r="F281" s="276" t="s">
        <v>207</v>
      </c>
      <c r="G281" s="276"/>
      <c r="H281" s="276"/>
    </row>
    <row r="282" spans="1:17" ht="34.5" customHeight="1">
      <c r="B282" s="24" t="s">
        <v>60</v>
      </c>
      <c r="C282" s="15"/>
      <c r="D282" s="280" t="s">
        <v>66</v>
      </c>
      <c r="E282" s="280"/>
      <c r="F282" s="277" t="s">
        <v>17</v>
      </c>
      <c r="G282" s="277"/>
      <c r="H282" s="277"/>
    </row>
    <row r="283" spans="1:17" ht="29.25" customHeight="1">
      <c r="B283" s="26"/>
      <c r="D283" s="129"/>
      <c r="E283" s="25"/>
      <c r="F283" s="25"/>
    </row>
    <row r="284" spans="1:17" ht="35.25" customHeight="1">
      <c r="B284" s="26"/>
      <c r="D284" s="129"/>
      <c r="E284" s="25"/>
      <c r="F284" s="25"/>
    </row>
    <row r="285" spans="1:17" ht="35.25" customHeight="1">
      <c r="B285" s="26"/>
      <c r="D285" s="129"/>
      <c r="E285" s="25"/>
      <c r="F285" s="25"/>
    </row>
    <row r="286" spans="1:17" s="21" customFormat="1" ht="39" customHeight="1">
      <c r="A286" s="15"/>
      <c r="B286" s="26"/>
      <c r="C286" s="24"/>
      <c r="D286" s="129"/>
      <c r="E286" s="25"/>
      <c r="F286" s="25"/>
      <c r="G286" s="15"/>
      <c r="H286" s="15"/>
      <c r="O286" s="210"/>
      <c r="P286" s="210"/>
      <c r="Q286" s="210"/>
    </row>
    <row r="287" spans="1:17" s="21" customFormat="1" ht="32.25" customHeight="1">
      <c r="A287" s="15"/>
      <c r="B287" s="26"/>
      <c r="C287" s="24"/>
      <c r="D287" s="129"/>
      <c r="E287" s="25"/>
      <c r="F287" s="25"/>
      <c r="G287" s="15"/>
      <c r="H287" s="15"/>
      <c r="O287" s="210"/>
      <c r="P287" s="210"/>
      <c r="Q287" s="210"/>
    </row>
    <row r="288" spans="1:17" s="21" customFormat="1" ht="31.5" customHeight="1">
      <c r="A288" s="15"/>
      <c r="B288" s="26"/>
      <c r="C288" s="24"/>
      <c r="D288" s="129"/>
      <c r="E288" s="25"/>
      <c r="F288" s="25"/>
      <c r="G288" s="15"/>
      <c r="H288" s="15"/>
      <c r="O288" s="210"/>
      <c r="P288" s="210"/>
      <c r="Q288" s="210"/>
    </row>
    <row r="289" spans="1:17" s="21" customFormat="1" ht="31.5" customHeight="1">
      <c r="A289" s="15"/>
      <c r="B289" s="26"/>
      <c r="C289" s="24"/>
      <c r="D289" s="129"/>
      <c r="E289" s="25"/>
      <c r="F289" s="25"/>
      <c r="G289" s="15"/>
      <c r="H289" s="15"/>
      <c r="O289" s="210"/>
      <c r="P289" s="210"/>
      <c r="Q289" s="210"/>
    </row>
    <row r="290" spans="1:17" s="21" customFormat="1" ht="29.25" customHeight="1">
      <c r="A290" s="15"/>
      <c r="B290" s="26"/>
      <c r="C290" s="24"/>
      <c r="D290" s="129"/>
      <c r="E290" s="25"/>
      <c r="F290" s="25"/>
      <c r="G290" s="15"/>
      <c r="H290" s="15"/>
      <c r="O290" s="210"/>
      <c r="P290" s="210"/>
      <c r="Q290" s="210"/>
    </row>
    <row r="291" spans="1:17" s="21" customFormat="1" ht="35.25" customHeight="1">
      <c r="A291" s="15"/>
      <c r="B291" s="26"/>
      <c r="C291" s="24"/>
      <c r="D291" s="129"/>
      <c r="E291" s="25"/>
      <c r="F291" s="25"/>
      <c r="G291" s="15"/>
      <c r="H291" s="15"/>
      <c r="O291" s="210"/>
      <c r="P291" s="210"/>
      <c r="Q291" s="210"/>
    </row>
    <row r="292" spans="1:17" s="21" customFormat="1" ht="41.25" customHeight="1">
      <c r="A292" s="15"/>
      <c r="B292" s="26"/>
      <c r="C292" s="24"/>
      <c r="D292" s="129"/>
      <c r="E292" s="25"/>
      <c r="F292" s="25"/>
      <c r="G292" s="15"/>
      <c r="H292" s="15"/>
      <c r="O292" s="210"/>
      <c r="P292" s="210"/>
      <c r="Q292" s="210"/>
    </row>
    <row r="293" spans="1:17" s="21" customFormat="1" ht="35.25" customHeight="1">
      <c r="A293" s="15"/>
      <c r="B293" s="26"/>
      <c r="C293" s="24"/>
      <c r="D293" s="129"/>
      <c r="E293" s="25"/>
      <c r="F293" s="25"/>
      <c r="G293" s="15"/>
      <c r="H293" s="15"/>
      <c r="O293" s="210"/>
      <c r="P293" s="210"/>
      <c r="Q293" s="210"/>
    </row>
    <row r="294" spans="1:17" s="21" customFormat="1" ht="41.25" customHeight="1">
      <c r="A294" s="15"/>
      <c r="B294" s="26"/>
      <c r="C294" s="24"/>
      <c r="D294" s="129"/>
      <c r="E294" s="25"/>
      <c r="F294" s="25"/>
      <c r="G294" s="15"/>
      <c r="H294" s="15"/>
      <c r="O294" s="210"/>
      <c r="P294" s="210"/>
      <c r="Q294" s="210"/>
    </row>
    <row r="295" spans="1:17" s="21" customFormat="1" ht="37.5" customHeight="1">
      <c r="A295" s="15"/>
      <c r="B295" s="26"/>
      <c r="C295" s="24"/>
      <c r="D295" s="129"/>
      <c r="E295" s="25"/>
      <c r="F295" s="25"/>
      <c r="G295" s="15"/>
      <c r="H295" s="15"/>
      <c r="O295" s="210"/>
      <c r="P295" s="210"/>
      <c r="Q295" s="210"/>
    </row>
    <row r="296" spans="1:17" s="21" customFormat="1" ht="37.5" customHeight="1">
      <c r="A296" s="15"/>
      <c r="B296" s="26"/>
      <c r="C296" s="24"/>
      <c r="D296" s="129"/>
      <c r="E296" s="25"/>
      <c r="F296" s="25"/>
      <c r="G296" s="15"/>
      <c r="H296" s="15"/>
      <c r="O296" s="210"/>
      <c r="P296" s="210"/>
      <c r="Q296" s="210"/>
    </row>
    <row r="297" spans="1:17" s="21" customFormat="1" ht="39" customHeight="1">
      <c r="A297" s="15"/>
      <c r="B297" s="26"/>
      <c r="C297" s="24"/>
      <c r="D297" s="129"/>
      <c r="E297" s="25"/>
      <c r="F297" s="25"/>
      <c r="G297" s="15"/>
      <c r="H297" s="15"/>
      <c r="O297" s="210"/>
      <c r="P297" s="210"/>
      <c r="Q297" s="210"/>
    </row>
    <row r="298" spans="1:17" s="21" customFormat="1" ht="35.25" customHeight="1">
      <c r="A298" s="15"/>
      <c r="B298" s="26"/>
      <c r="C298" s="24"/>
      <c r="D298" s="129"/>
      <c r="E298" s="25"/>
      <c r="F298" s="25"/>
      <c r="G298" s="15"/>
      <c r="H298" s="15"/>
      <c r="O298" s="210"/>
      <c r="P298" s="210"/>
      <c r="Q298" s="210"/>
    </row>
    <row r="299" spans="1:17" s="21" customFormat="1" ht="37.5" customHeight="1">
      <c r="A299" s="15"/>
      <c r="B299" s="26"/>
      <c r="C299" s="24"/>
      <c r="D299" s="129"/>
      <c r="E299" s="25"/>
      <c r="F299" s="25"/>
      <c r="G299" s="15"/>
      <c r="H299" s="15"/>
      <c r="O299" s="210"/>
      <c r="P299" s="210"/>
      <c r="Q299" s="210"/>
    </row>
    <row r="300" spans="1:17" s="21" customFormat="1" ht="31.5" customHeight="1">
      <c r="A300" s="15"/>
      <c r="B300" s="26"/>
      <c r="C300" s="24"/>
      <c r="D300" s="129"/>
      <c r="E300" s="25"/>
      <c r="F300" s="25"/>
      <c r="G300" s="15"/>
      <c r="H300" s="15"/>
      <c r="O300" s="210"/>
      <c r="P300" s="210"/>
      <c r="Q300" s="210"/>
    </row>
    <row r="301" spans="1:17" s="21" customFormat="1" ht="31.5" customHeight="1">
      <c r="A301" s="15"/>
      <c r="B301" s="26"/>
      <c r="C301" s="24"/>
      <c r="D301" s="129"/>
      <c r="E301" s="25"/>
      <c r="F301" s="25"/>
      <c r="G301" s="15"/>
      <c r="H301" s="15"/>
      <c r="O301" s="210"/>
      <c r="P301" s="210"/>
      <c r="Q301" s="210"/>
    </row>
    <row r="302" spans="1:17">
      <c r="B302" s="26"/>
      <c r="D302" s="129"/>
      <c r="E302" s="25"/>
      <c r="F302" s="25"/>
    </row>
    <row r="303" spans="1:17" ht="24.75" customHeight="1">
      <c r="B303" s="26"/>
      <c r="D303" s="129"/>
      <c r="E303" s="25"/>
      <c r="F303" s="25"/>
    </row>
    <row r="304" spans="1:17">
      <c r="B304" s="26"/>
      <c r="D304" s="129"/>
      <c r="E304" s="25"/>
      <c r="F304" s="25"/>
    </row>
    <row r="305" spans="2:6">
      <c r="B305" s="26"/>
      <c r="D305" s="129"/>
      <c r="E305" s="25"/>
      <c r="F305" s="25"/>
    </row>
    <row r="306" spans="2:6">
      <c r="B306" s="26"/>
      <c r="D306" s="129"/>
      <c r="E306" s="25"/>
      <c r="F306" s="25"/>
    </row>
    <row r="307" spans="2:6">
      <c r="B307" s="26"/>
      <c r="D307" s="129"/>
      <c r="E307" s="25"/>
      <c r="F307" s="25"/>
    </row>
    <row r="308" spans="2:6">
      <c r="B308" s="26"/>
      <c r="D308" s="129"/>
      <c r="E308" s="25"/>
      <c r="F308" s="25"/>
    </row>
    <row r="309" spans="2:6">
      <c r="B309" s="26"/>
      <c r="D309" s="129"/>
      <c r="E309" s="25"/>
      <c r="F309" s="25"/>
    </row>
    <row r="310" spans="2:6">
      <c r="B310" s="26"/>
      <c r="D310" s="129"/>
      <c r="E310" s="25"/>
      <c r="F310" s="25"/>
    </row>
    <row r="311" spans="2:6">
      <c r="B311" s="26"/>
      <c r="D311" s="129"/>
      <c r="E311" s="25"/>
      <c r="F311" s="25"/>
    </row>
    <row r="312" spans="2:6">
      <c r="B312" s="26"/>
      <c r="D312" s="129"/>
      <c r="E312" s="25"/>
      <c r="F312" s="25"/>
    </row>
    <row r="313" spans="2:6">
      <c r="B313" s="26"/>
      <c r="D313" s="129"/>
      <c r="E313" s="25"/>
      <c r="F313" s="25"/>
    </row>
    <row r="314" spans="2:6">
      <c r="B314" s="26"/>
      <c r="D314" s="129"/>
      <c r="E314" s="25"/>
      <c r="F314" s="25"/>
    </row>
    <row r="315" spans="2:6">
      <c r="B315" s="26"/>
      <c r="D315" s="129"/>
      <c r="E315" s="25"/>
      <c r="F315" s="25"/>
    </row>
    <row r="316" spans="2:6">
      <c r="B316" s="26"/>
      <c r="D316" s="129"/>
      <c r="E316" s="25"/>
      <c r="F316" s="25"/>
    </row>
    <row r="317" spans="2:6">
      <c r="B317" s="26"/>
      <c r="D317" s="129"/>
      <c r="E317" s="25"/>
      <c r="F317" s="25"/>
    </row>
    <row r="318" spans="2:6">
      <c r="B318" s="26"/>
      <c r="D318" s="129"/>
      <c r="E318" s="25"/>
      <c r="F318" s="25"/>
    </row>
    <row r="319" spans="2:6">
      <c r="B319" s="26"/>
      <c r="D319" s="129"/>
      <c r="E319" s="25"/>
      <c r="F319" s="25"/>
    </row>
    <row r="320" spans="2:6">
      <c r="B320" s="26"/>
      <c r="D320" s="129"/>
      <c r="E320" s="25"/>
      <c r="F320" s="25"/>
    </row>
    <row r="321" spans="2:6">
      <c r="B321" s="26"/>
      <c r="D321" s="129"/>
      <c r="E321" s="25"/>
      <c r="F321" s="25"/>
    </row>
    <row r="322" spans="2:6">
      <c r="B322" s="26"/>
      <c r="D322" s="129"/>
      <c r="E322" s="25"/>
      <c r="F322" s="25"/>
    </row>
    <row r="323" spans="2:6">
      <c r="B323" s="26"/>
      <c r="D323" s="129"/>
      <c r="E323" s="25"/>
      <c r="F323" s="25"/>
    </row>
    <row r="324" spans="2:6">
      <c r="B324" s="26"/>
      <c r="D324" s="129"/>
      <c r="E324" s="25"/>
      <c r="F324" s="25"/>
    </row>
    <row r="325" spans="2:6">
      <c r="B325" s="26"/>
      <c r="D325" s="129"/>
      <c r="E325" s="25"/>
      <c r="F325" s="25"/>
    </row>
    <row r="326" spans="2:6">
      <c r="B326" s="26"/>
      <c r="D326" s="129"/>
      <c r="E326" s="25"/>
      <c r="F326" s="25"/>
    </row>
    <row r="327" spans="2:6">
      <c r="B327" s="26"/>
      <c r="D327" s="129"/>
      <c r="E327" s="25"/>
      <c r="F327" s="25"/>
    </row>
    <row r="328" spans="2:6">
      <c r="B328" s="26"/>
      <c r="D328" s="129"/>
      <c r="E328" s="25"/>
      <c r="F328" s="25"/>
    </row>
    <row r="329" spans="2:6">
      <c r="B329" s="26"/>
      <c r="D329" s="129"/>
      <c r="E329" s="25"/>
      <c r="F329" s="25"/>
    </row>
    <row r="330" spans="2:6">
      <c r="B330" s="26"/>
      <c r="D330" s="129"/>
      <c r="E330" s="25"/>
      <c r="F330" s="25"/>
    </row>
    <row r="331" spans="2:6">
      <c r="B331" s="26"/>
      <c r="D331" s="129"/>
      <c r="E331" s="25"/>
      <c r="F331" s="25"/>
    </row>
    <row r="332" spans="2:6">
      <c r="B332" s="26"/>
      <c r="D332" s="129"/>
      <c r="E332" s="25"/>
      <c r="F332" s="25"/>
    </row>
    <row r="333" spans="2:6">
      <c r="B333" s="26"/>
      <c r="D333" s="129"/>
      <c r="E333" s="25"/>
      <c r="F333" s="25"/>
    </row>
    <row r="334" spans="2:6">
      <c r="B334" s="26"/>
      <c r="D334" s="129"/>
      <c r="E334" s="25"/>
      <c r="F334" s="25"/>
    </row>
    <row r="335" spans="2:6">
      <c r="B335" s="26"/>
      <c r="D335" s="129"/>
      <c r="E335" s="25"/>
      <c r="F335" s="25"/>
    </row>
    <row r="336" spans="2:6">
      <c r="B336" s="26"/>
      <c r="D336" s="129"/>
      <c r="E336" s="25"/>
      <c r="F336" s="25"/>
    </row>
    <row r="337" spans="2:2">
      <c r="B337" s="26"/>
    </row>
    <row r="338" spans="2:2">
      <c r="B338" s="27"/>
    </row>
    <row r="339" spans="2:2">
      <c r="B339" s="27"/>
    </row>
    <row r="340" spans="2:2">
      <c r="B340" s="27"/>
    </row>
    <row r="341" spans="2:2">
      <c r="B341" s="27"/>
    </row>
    <row r="342" spans="2:2">
      <c r="B342" s="27"/>
    </row>
    <row r="343" spans="2:2">
      <c r="B343" s="27"/>
    </row>
    <row r="344" spans="2:2">
      <c r="B344" s="27"/>
    </row>
    <row r="345" spans="2:2">
      <c r="B345" s="27"/>
    </row>
    <row r="346" spans="2:2">
      <c r="B346" s="27"/>
    </row>
    <row r="347" spans="2:2">
      <c r="B347" s="27"/>
    </row>
    <row r="348" spans="2:2">
      <c r="B348" s="27"/>
    </row>
    <row r="349" spans="2:2">
      <c r="B349" s="27"/>
    </row>
    <row r="350" spans="2:2">
      <c r="B350" s="27"/>
    </row>
    <row r="351" spans="2:2">
      <c r="B351" s="27"/>
    </row>
    <row r="352" spans="2:2">
      <c r="B352" s="27"/>
    </row>
    <row r="353" spans="2:2">
      <c r="B353" s="27"/>
    </row>
    <row r="354" spans="2:2">
      <c r="B354" s="27"/>
    </row>
    <row r="355" spans="2:2">
      <c r="B355" s="27"/>
    </row>
    <row r="356" spans="2:2">
      <c r="B356" s="27"/>
    </row>
    <row r="357" spans="2:2">
      <c r="B357" s="27"/>
    </row>
    <row r="358" spans="2:2">
      <c r="B358" s="27"/>
    </row>
    <row r="359" spans="2:2">
      <c r="B359" s="27"/>
    </row>
    <row r="360" spans="2:2">
      <c r="B360" s="27"/>
    </row>
    <row r="361" spans="2:2">
      <c r="B361" s="27"/>
    </row>
    <row r="362" spans="2:2">
      <c r="B362" s="27"/>
    </row>
    <row r="363" spans="2:2">
      <c r="B363" s="27"/>
    </row>
    <row r="364" spans="2:2">
      <c r="B364" s="27"/>
    </row>
    <row r="365" spans="2:2">
      <c r="B365" s="27"/>
    </row>
    <row r="366" spans="2:2">
      <c r="B366" s="27"/>
    </row>
    <row r="367" spans="2:2">
      <c r="B367" s="27"/>
    </row>
    <row r="368" spans="2:2">
      <c r="B368" s="27"/>
    </row>
    <row r="369" spans="2:2">
      <c r="B369" s="27"/>
    </row>
    <row r="370" spans="2:2">
      <c r="B370" s="27"/>
    </row>
    <row r="371" spans="2:2">
      <c r="B371" s="27"/>
    </row>
    <row r="372" spans="2:2">
      <c r="B372" s="27"/>
    </row>
    <row r="373" spans="2:2">
      <c r="B373" s="27"/>
    </row>
    <row r="374" spans="2:2">
      <c r="B374" s="27"/>
    </row>
    <row r="375" spans="2:2">
      <c r="B375" s="27"/>
    </row>
    <row r="376" spans="2:2">
      <c r="B376" s="27"/>
    </row>
    <row r="377" spans="2:2">
      <c r="B377" s="27"/>
    </row>
    <row r="378" spans="2:2">
      <c r="B378" s="27"/>
    </row>
    <row r="379" spans="2:2">
      <c r="B379" s="27"/>
    </row>
    <row r="380" spans="2:2">
      <c r="B380" s="27"/>
    </row>
    <row r="381" spans="2:2">
      <c r="B381" s="27"/>
    </row>
    <row r="382" spans="2:2">
      <c r="B382" s="27"/>
    </row>
    <row r="383" spans="2:2">
      <c r="B383" s="27"/>
    </row>
    <row r="384" spans="2:2">
      <c r="B384" s="27"/>
    </row>
    <row r="385" spans="2:2">
      <c r="B385" s="27"/>
    </row>
    <row r="386" spans="2:2">
      <c r="B386" s="27"/>
    </row>
    <row r="387" spans="2:2">
      <c r="B387" s="27"/>
    </row>
    <row r="388" spans="2:2">
      <c r="B388" s="27"/>
    </row>
    <row r="389" spans="2:2">
      <c r="B389" s="27"/>
    </row>
    <row r="390" spans="2:2">
      <c r="B390" s="27"/>
    </row>
    <row r="391" spans="2:2">
      <c r="B391" s="27"/>
    </row>
    <row r="392" spans="2:2">
      <c r="B392" s="27"/>
    </row>
    <row r="393" spans="2:2">
      <c r="B393" s="27"/>
    </row>
    <row r="394" spans="2:2">
      <c r="B394" s="27"/>
    </row>
    <row r="395" spans="2:2">
      <c r="B395" s="27"/>
    </row>
    <row r="396" spans="2:2">
      <c r="B396" s="27"/>
    </row>
    <row r="397" spans="2:2">
      <c r="B397" s="27"/>
    </row>
    <row r="398" spans="2:2">
      <c r="B398" s="27"/>
    </row>
    <row r="399" spans="2:2">
      <c r="B399" s="27"/>
    </row>
    <row r="400" spans="2:2">
      <c r="B400" s="27"/>
    </row>
    <row r="401" spans="2:2">
      <c r="B401" s="27"/>
    </row>
    <row r="402" spans="2:2">
      <c r="B402" s="27"/>
    </row>
    <row r="403" spans="2:2">
      <c r="B403" s="27"/>
    </row>
    <row r="404" spans="2:2">
      <c r="B404" s="27"/>
    </row>
    <row r="405" spans="2:2">
      <c r="B405" s="27"/>
    </row>
    <row r="406" spans="2:2">
      <c r="B406" s="27"/>
    </row>
    <row r="407" spans="2:2">
      <c r="B407" s="27"/>
    </row>
    <row r="408" spans="2:2">
      <c r="B408" s="27"/>
    </row>
    <row r="409" spans="2:2">
      <c r="B409" s="27"/>
    </row>
    <row r="410" spans="2:2">
      <c r="B410" s="27"/>
    </row>
    <row r="411" spans="2:2">
      <c r="B411" s="27"/>
    </row>
    <row r="412" spans="2:2">
      <c r="B412" s="27"/>
    </row>
    <row r="413" spans="2:2">
      <c r="B413" s="27"/>
    </row>
    <row r="414" spans="2:2">
      <c r="B414" s="27"/>
    </row>
    <row r="415" spans="2:2">
      <c r="B415" s="27"/>
    </row>
    <row r="416" spans="2:2">
      <c r="B416" s="27"/>
    </row>
    <row r="417" spans="2:2">
      <c r="B417" s="27"/>
    </row>
    <row r="418" spans="2:2">
      <c r="B418" s="27"/>
    </row>
    <row r="419" spans="2:2">
      <c r="B419" s="27"/>
    </row>
    <row r="420" spans="2:2">
      <c r="B420" s="27"/>
    </row>
    <row r="421" spans="2:2">
      <c r="B421" s="27"/>
    </row>
    <row r="422" spans="2:2">
      <c r="B422" s="27"/>
    </row>
    <row r="423" spans="2:2">
      <c r="B423" s="27"/>
    </row>
    <row r="424" spans="2:2">
      <c r="B424" s="27"/>
    </row>
    <row r="425" spans="2:2">
      <c r="B425" s="27"/>
    </row>
    <row r="426" spans="2:2">
      <c r="B426" s="27"/>
    </row>
    <row r="427" spans="2:2">
      <c r="B427" s="27"/>
    </row>
    <row r="428" spans="2:2">
      <c r="B428" s="27"/>
    </row>
    <row r="429" spans="2:2">
      <c r="B429" s="27"/>
    </row>
    <row r="430" spans="2:2">
      <c r="B430" s="27"/>
    </row>
    <row r="431" spans="2:2">
      <c r="B431" s="27"/>
    </row>
    <row r="432" spans="2:2">
      <c r="B432" s="27"/>
    </row>
    <row r="433" spans="2:2">
      <c r="B433" s="27"/>
    </row>
    <row r="434" spans="2:2">
      <c r="B434" s="27"/>
    </row>
    <row r="435" spans="2:2">
      <c r="B435" s="27"/>
    </row>
    <row r="436" spans="2:2">
      <c r="B436" s="27"/>
    </row>
    <row r="437" spans="2:2">
      <c r="B437" s="27"/>
    </row>
    <row r="438" spans="2:2">
      <c r="B438" s="27"/>
    </row>
    <row r="439" spans="2:2">
      <c r="B439" s="27"/>
    </row>
    <row r="440" spans="2:2">
      <c r="B440" s="27"/>
    </row>
    <row r="441" spans="2:2">
      <c r="B441" s="27"/>
    </row>
    <row r="442" spans="2:2">
      <c r="B442" s="27"/>
    </row>
    <row r="443" spans="2:2">
      <c r="B443" s="27"/>
    </row>
    <row r="444" spans="2:2">
      <c r="B444" s="27"/>
    </row>
    <row r="445" spans="2:2">
      <c r="B445" s="27"/>
    </row>
    <row r="446" spans="2:2">
      <c r="B446" s="27"/>
    </row>
    <row r="447" spans="2:2">
      <c r="B447" s="27"/>
    </row>
    <row r="448" spans="2:2">
      <c r="B448" s="27"/>
    </row>
    <row r="449" spans="2:2">
      <c r="B449" s="27"/>
    </row>
    <row r="450" spans="2:2">
      <c r="B450" s="27"/>
    </row>
    <row r="451" spans="2:2">
      <c r="B451" s="27"/>
    </row>
    <row r="452" spans="2:2">
      <c r="B452" s="27"/>
    </row>
    <row r="453" spans="2:2">
      <c r="B453" s="27"/>
    </row>
    <row r="454" spans="2:2">
      <c r="B454" s="27"/>
    </row>
    <row r="455" spans="2:2">
      <c r="B455" s="27"/>
    </row>
    <row r="456" spans="2:2">
      <c r="B456" s="27"/>
    </row>
    <row r="457" spans="2:2">
      <c r="B457" s="27"/>
    </row>
    <row r="458" spans="2:2">
      <c r="B458" s="27"/>
    </row>
    <row r="459" spans="2:2">
      <c r="B459" s="27"/>
    </row>
    <row r="460" spans="2:2">
      <c r="B460" s="27"/>
    </row>
    <row r="461" spans="2:2">
      <c r="B461" s="27"/>
    </row>
    <row r="462" spans="2:2">
      <c r="B462" s="27"/>
    </row>
    <row r="463" spans="2:2">
      <c r="B463" s="27"/>
    </row>
    <row r="464" spans="2:2">
      <c r="B464" s="27"/>
    </row>
    <row r="465" spans="2:2">
      <c r="B465" s="27"/>
    </row>
    <row r="466" spans="2:2">
      <c r="B466" s="27"/>
    </row>
    <row r="467" spans="2:2">
      <c r="B467" s="27"/>
    </row>
    <row r="468" spans="2:2">
      <c r="B468" s="27"/>
    </row>
    <row r="469" spans="2:2">
      <c r="B469" s="27"/>
    </row>
    <row r="470" spans="2:2">
      <c r="B470" s="27"/>
    </row>
    <row r="471" spans="2:2">
      <c r="B471" s="27"/>
    </row>
    <row r="472" spans="2:2">
      <c r="B472" s="27"/>
    </row>
    <row r="473" spans="2:2">
      <c r="B473" s="27"/>
    </row>
    <row r="474" spans="2:2">
      <c r="B474" s="27"/>
    </row>
    <row r="475" spans="2:2">
      <c r="B475" s="27"/>
    </row>
    <row r="476" spans="2:2">
      <c r="B476" s="27"/>
    </row>
    <row r="477" spans="2:2">
      <c r="B477" s="27"/>
    </row>
    <row r="478" spans="2:2">
      <c r="B478" s="27"/>
    </row>
    <row r="479" spans="2:2">
      <c r="B479" s="27"/>
    </row>
    <row r="480" spans="2:2">
      <c r="B480" s="27"/>
    </row>
    <row r="481" spans="2:2">
      <c r="B481" s="27"/>
    </row>
    <row r="482" spans="2:2">
      <c r="B482" s="27"/>
    </row>
    <row r="483" spans="2:2">
      <c r="B483" s="27"/>
    </row>
    <row r="484" spans="2:2">
      <c r="B484" s="27"/>
    </row>
    <row r="485" spans="2:2">
      <c r="B485" s="27"/>
    </row>
    <row r="486" spans="2:2">
      <c r="B486" s="27"/>
    </row>
    <row r="487" spans="2:2">
      <c r="B487" s="27"/>
    </row>
    <row r="488" spans="2:2">
      <c r="B488" s="27"/>
    </row>
    <row r="489" spans="2:2">
      <c r="B489" s="27"/>
    </row>
    <row r="490" spans="2:2">
      <c r="B490" s="27"/>
    </row>
    <row r="491" spans="2:2">
      <c r="B491" s="27"/>
    </row>
    <row r="492" spans="2:2">
      <c r="B492" s="27"/>
    </row>
    <row r="493" spans="2:2">
      <c r="B493" s="27"/>
    </row>
    <row r="494" spans="2:2">
      <c r="B494" s="27"/>
    </row>
    <row r="495" spans="2:2">
      <c r="B495" s="27"/>
    </row>
    <row r="496" spans="2:2">
      <c r="B496" s="27"/>
    </row>
    <row r="497" spans="2:2">
      <c r="B497" s="27"/>
    </row>
    <row r="498" spans="2:2">
      <c r="B498" s="27"/>
    </row>
    <row r="499" spans="2:2">
      <c r="B499" s="27"/>
    </row>
    <row r="500" spans="2:2">
      <c r="B500" s="27"/>
    </row>
    <row r="501" spans="2:2">
      <c r="B501" s="27"/>
    </row>
    <row r="502" spans="2:2">
      <c r="B502" s="27"/>
    </row>
    <row r="503" spans="2:2">
      <c r="B503" s="27"/>
    </row>
    <row r="504" spans="2:2">
      <c r="B504" s="27"/>
    </row>
  </sheetData>
  <mergeCells count="6">
    <mergeCell ref="D281:E281"/>
    <mergeCell ref="D282:E282"/>
    <mergeCell ref="B2:H2"/>
    <mergeCell ref="A6:B6"/>
    <mergeCell ref="F281:H281"/>
    <mergeCell ref="F282:H282"/>
  </mergeCells>
  <pageMargins left="0.39370078740157483" right="0.39370078740157483" top="0.78740157480314965" bottom="0.39370078740157483" header="0.31496062992125984" footer="0.31496062992125984"/>
  <pageSetup paperSize="9" scale="65" orientation="landscape" r:id="rId1"/>
  <rowBreaks count="1" manualBreakCount="1">
    <brk id="24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264"/>
  <sheetViews>
    <sheetView view="pageBreakPreview" topLeftCell="A13" zoomScale="80" zoomScaleNormal="100" zoomScaleSheetLayoutView="80" workbookViewId="0">
      <selection activeCell="A38" sqref="A38"/>
    </sheetView>
  </sheetViews>
  <sheetFormatPr defaultRowHeight="18.75"/>
  <cols>
    <col min="1" max="1" width="60.28515625" style="23" customWidth="1"/>
    <col min="2" max="2" width="13.140625" style="98" customWidth="1"/>
    <col min="3" max="3" width="16.140625" style="98" customWidth="1"/>
    <col min="4" max="4" width="16.7109375" style="98" customWidth="1"/>
    <col min="5" max="5" width="16.140625" style="98" customWidth="1"/>
    <col min="6" max="6" width="16" style="98" customWidth="1"/>
    <col min="7" max="7" width="16.42578125" style="23" customWidth="1"/>
    <col min="8" max="10" width="9.140625" style="23"/>
    <col min="11" max="12" width="15.7109375" style="23" bestFit="1" customWidth="1"/>
    <col min="13" max="14" width="12.140625" style="23" bestFit="1" customWidth="1"/>
    <col min="15" max="15" width="15.7109375" style="23" bestFit="1" customWidth="1"/>
    <col min="16" max="17" width="14.28515625" style="23" bestFit="1" customWidth="1"/>
    <col min="18" max="16384" width="9.140625" style="23"/>
  </cols>
  <sheetData>
    <row r="1" spans="1:7" ht="27.75" customHeight="1">
      <c r="A1" s="287" t="s">
        <v>104</v>
      </c>
      <c r="B1" s="287"/>
      <c r="C1" s="287"/>
      <c r="D1" s="287"/>
      <c r="E1" s="287"/>
      <c r="F1" s="287"/>
    </row>
    <row r="2" spans="1:7" ht="19.5" customHeight="1">
      <c r="A2" s="102"/>
      <c r="B2" s="64"/>
      <c r="C2" s="102"/>
      <c r="D2" s="102"/>
      <c r="E2" s="102"/>
      <c r="F2" s="64"/>
      <c r="G2" s="232" t="s">
        <v>65</v>
      </c>
    </row>
    <row r="3" spans="1:7" ht="64.5" customHeight="1">
      <c r="A3" s="65" t="s">
        <v>23</v>
      </c>
      <c r="B3" s="57" t="s">
        <v>5</v>
      </c>
      <c r="C3" s="57" t="s">
        <v>274</v>
      </c>
      <c r="D3" s="57" t="s">
        <v>275</v>
      </c>
      <c r="E3" s="57" t="s">
        <v>276</v>
      </c>
      <c r="F3" s="233" t="s">
        <v>115</v>
      </c>
      <c r="G3" s="57" t="s">
        <v>116</v>
      </c>
    </row>
    <row r="4" spans="1:7" ht="18" customHeight="1">
      <c r="A4" s="65">
        <v>1</v>
      </c>
      <c r="B4" s="57">
        <v>2</v>
      </c>
      <c r="C4" s="57">
        <v>3</v>
      </c>
      <c r="D4" s="57">
        <v>4</v>
      </c>
      <c r="E4" s="57">
        <v>5</v>
      </c>
      <c r="F4" s="57">
        <v>6</v>
      </c>
      <c r="G4" s="65">
        <v>7</v>
      </c>
    </row>
    <row r="5" spans="1:7" ht="37.5" customHeight="1">
      <c r="A5" s="100" t="s">
        <v>13</v>
      </c>
      <c r="B5" s="101">
        <v>4000</v>
      </c>
      <c r="C5" s="19">
        <f>C6+C13+C38</f>
        <v>489.4</v>
      </c>
      <c r="D5" s="19">
        <f>D6+D13+D38</f>
        <v>0</v>
      </c>
      <c r="E5" s="19">
        <f>E6+E13+E38</f>
        <v>529.5</v>
      </c>
      <c r="F5" s="19">
        <f>E5-D5</f>
        <v>529.5</v>
      </c>
      <c r="G5" s="96" t="e">
        <f>(E5/D5)*100</f>
        <v>#DIV/0!</v>
      </c>
    </row>
    <row r="6" spans="1:7" ht="27.75" customHeight="1">
      <c r="A6" s="83" t="s">
        <v>0</v>
      </c>
      <c r="B6" s="63">
        <v>4020</v>
      </c>
      <c r="C6" s="53">
        <f>SUM(C7:C11)</f>
        <v>162.5</v>
      </c>
      <c r="D6" s="53">
        <f>SUM(D7:D11)</f>
        <v>0</v>
      </c>
      <c r="E6" s="53">
        <f>SUM(E7:E12)</f>
        <v>375.1</v>
      </c>
      <c r="F6" s="53">
        <f>E6-D6</f>
        <v>375.1</v>
      </c>
      <c r="G6" s="96" t="e">
        <f>(E6/D6)*100</f>
        <v>#DIV/0!</v>
      </c>
    </row>
    <row r="7" spans="1:7" ht="21" customHeight="1">
      <c r="A7" s="234" t="s">
        <v>225</v>
      </c>
      <c r="B7" s="63"/>
      <c r="C7" s="20">
        <v>162.5</v>
      </c>
      <c r="D7" s="53"/>
      <c r="E7" s="53"/>
      <c r="F7" s="53">
        <f t="shared" ref="F7:F39" si="0">E7-D7</f>
        <v>0</v>
      </c>
      <c r="G7" s="96" t="e">
        <f t="shared" ref="G7:G39" si="1">(E7/D7)*100</f>
        <v>#DIV/0!</v>
      </c>
    </row>
    <row r="8" spans="1:7" ht="24" customHeight="1">
      <c r="A8" s="234" t="s">
        <v>283</v>
      </c>
      <c r="B8" s="235"/>
      <c r="C8" s="29"/>
      <c r="D8" s="29"/>
      <c r="E8" s="20">
        <v>40</v>
      </c>
      <c r="F8" s="53">
        <f t="shared" si="0"/>
        <v>40</v>
      </c>
      <c r="G8" s="96" t="e">
        <f t="shared" si="1"/>
        <v>#DIV/0!</v>
      </c>
    </row>
    <row r="9" spans="1:7" ht="21.75" customHeight="1">
      <c r="A9" s="234" t="s">
        <v>284</v>
      </c>
      <c r="B9" s="235"/>
      <c r="C9" s="20"/>
      <c r="D9" s="29"/>
      <c r="E9" s="29">
        <v>30.5</v>
      </c>
      <c r="F9" s="53">
        <f t="shared" si="0"/>
        <v>30.5</v>
      </c>
      <c r="G9" s="96" t="e">
        <f t="shared" si="1"/>
        <v>#DIV/0!</v>
      </c>
    </row>
    <row r="10" spans="1:7" ht="24" customHeight="1">
      <c r="A10" s="234" t="s">
        <v>289</v>
      </c>
      <c r="B10" s="235"/>
      <c r="C10" s="20"/>
      <c r="D10" s="29"/>
      <c r="E10" s="29">
        <v>4</v>
      </c>
      <c r="F10" s="53">
        <f t="shared" si="0"/>
        <v>4</v>
      </c>
      <c r="G10" s="96" t="e">
        <f t="shared" si="1"/>
        <v>#DIV/0!</v>
      </c>
    </row>
    <row r="11" spans="1:7" ht="38.25" customHeight="1">
      <c r="A11" s="236" t="s">
        <v>282</v>
      </c>
      <c r="B11" s="235"/>
      <c r="C11" s="20"/>
      <c r="D11" s="20"/>
      <c r="E11" s="20">
        <v>258.5</v>
      </c>
      <c r="F11" s="53">
        <f t="shared" si="0"/>
        <v>258.5</v>
      </c>
      <c r="G11" s="96" t="e">
        <f t="shared" si="1"/>
        <v>#DIV/0!</v>
      </c>
    </row>
    <row r="12" spans="1:7" ht="21" customHeight="1">
      <c r="A12" s="236" t="s">
        <v>371</v>
      </c>
      <c r="B12" s="235"/>
      <c r="C12" s="20"/>
      <c r="D12" s="20"/>
      <c r="E12" s="20">
        <v>42.1</v>
      </c>
      <c r="F12" s="53">
        <f t="shared" si="0"/>
        <v>42.1</v>
      </c>
      <c r="G12" s="96" t="e">
        <f t="shared" si="1"/>
        <v>#DIV/0!</v>
      </c>
    </row>
    <row r="13" spans="1:7" s="62" customFormat="1" ht="38.25" customHeight="1">
      <c r="A13" s="83" t="s">
        <v>7</v>
      </c>
      <c r="B13" s="237">
        <v>4030</v>
      </c>
      <c r="C13" s="53">
        <f>SUM(C14:C37)</f>
        <v>22</v>
      </c>
      <c r="D13" s="53">
        <f>SUM(D14:D37)</f>
        <v>0</v>
      </c>
      <c r="E13" s="53">
        <f>SUM(E14:E37)</f>
        <v>154.39999999999998</v>
      </c>
      <c r="F13" s="53">
        <f t="shared" si="0"/>
        <v>154.39999999999998</v>
      </c>
      <c r="G13" s="96" t="e">
        <f t="shared" si="1"/>
        <v>#DIV/0!</v>
      </c>
    </row>
    <row r="14" spans="1:7" s="62" customFormat="1" ht="24.75" customHeight="1">
      <c r="A14" s="58" t="s">
        <v>285</v>
      </c>
      <c r="B14" s="238"/>
      <c r="C14" s="20"/>
      <c r="D14" s="20"/>
      <c r="E14" s="20">
        <v>1.6</v>
      </c>
      <c r="F14" s="19">
        <f t="shared" si="0"/>
        <v>1.6</v>
      </c>
      <c r="G14" s="96" t="e">
        <f t="shared" si="1"/>
        <v>#DIV/0!</v>
      </c>
    </row>
    <row r="15" spans="1:7" s="62" customFormat="1" ht="24.75" customHeight="1">
      <c r="A15" s="58" t="s">
        <v>286</v>
      </c>
      <c r="B15" s="238"/>
      <c r="C15" s="20"/>
      <c r="D15" s="20"/>
      <c r="E15" s="20">
        <v>2.2000000000000002</v>
      </c>
      <c r="F15" s="19">
        <f t="shared" si="0"/>
        <v>2.2000000000000002</v>
      </c>
      <c r="G15" s="96" t="e">
        <f t="shared" si="1"/>
        <v>#DIV/0!</v>
      </c>
    </row>
    <row r="16" spans="1:7" s="62" customFormat="1" ht="40.5" customHeight="1">
      <c r="A16" s="58" t="s">
        <v>287</v>
      </c>
      <c r="B16" s="238"/>
      <c r="C16" s="20"/>
      <c r="D16" s="20"/>
      <c r="E16" s="20">
        <v>2</v>
      </c>
      <c r="F16" s="19">
        <f t="shared" si="0"/>
        <v>2</v>
      </c>
      <c r="G16" s="96" t="e">
        <f t="shared" si="1"/>
        <v>#DIV/0!</v>
      </c>
    </row>
    <row r="17" spans="1:11" s="62" customFormat="1" ht="23.25" customHeight="1">
      <c r="A17" s="58" t="s">
        <v>288</v>
      </c>
      <c r="B17" s="238"/>
      <c r="C17" s="20"/>
      <c r="D17" s="20"/>
      <c r="E17" s="20">
        <v>1</v>
      </c>
      <c r="F17" s="19">
        <f t="shared" si="0"/>
        <v>1</v>
      </c>
      <c r="G17" s="96" t="e">
        <f t="shared" si="1"/>
        <v>#DIV/0!</v>
      </c>
    </row>
    <row r="18" spans="1:11" s="62" customFormat="1" ht="29.25" customHeight="1">
      <c r="A18" s="58" t="s">
        <v>290</v>
      </c>
      <c r="B18" s="238"/>
      <c r="C18" s="20"/>
      <c r="D18" s="20"/>
      <c r="E18" s="20">
        <v>0.6</v>
      </c>
      <c r="F18" s="19">
        <f t="shared" si="0"/>
        <v>0.6</v>
      </c>
      <c r="G18" s="96" t="e">
        <f t="shared" si="1"/>
        <v>#DIV/0!</v>
      </c>
    </row>
    <row r="19" spans="1:11" s="62" customFormat="1" ht="24.75" customHeight="1">
      <c r="A19" s="58" t="s">
        <v>291</v>
      </c>
      <c r="B19" s="238"/>
      <c r="C19" s="20"/>
      <c r="D19" s="20"/>
      <c r="E19" s="20">
        <v>5</v>
      </c>
      <c r="F19" s="19">
        <f t="shared" si="0"/>
        <v>5</v>
      </c>
      <c r="G19" s="96" t="e">
        <f t="shared" si="1"/>
        <v>#DIV/0!</v>
      </c>
    </row>
    <row r="20" spans="1:11" s="62" customFormat="1" ht="27.75" customHeight="1">
      <c r="A20" s="58" t="s">
        <v>292</v>
      </c>
      <c r="B20" s="238"/>
      <c r="C20" s="20"/>
      <c r="D20" s="20"/>
      <c r="E20" s="20">
        <v>5.5</v>
      </c>
      <c r="F20" s="19">
        <f t="shared" si="0"/>
        <v>5.5</v>
      </c>
      <c r="G20" s="96" t="e">
        <f t="shared" si="1"/>
        <v>#DIV/0!</v>
      </c>
    </row>
    <row r="21" spans="1:11" s="62" customFormat="1" ht="28.5" customHeight="1">
      <c r="A21" s="58" t="s">
        <v>293</v>
      </c>
      <c r="B21" s="238"/>
      <c r="C21" s="20"/>
      <c r="D21" s="20"/>
      <c r="E21" s="20">
        <v>5.7</v>
      </c>
      <c r="F21" s="19">
        <f t="shared" si="0"/>
        <v>5.7</v>
      </c>
      <c r="G21" s="96" t="e">
        <f t="shared" si="1"/>
        <v>#DIV/0!</v>
      </c>
    </row>
    <row r="22" spans="1:11" s="62" customFormat="1" ht="27.75" customHeight="1">
      <c r="A22" s="58" t="s">
        <v>294</v>
      </c>
      <c r="B22" s="238"/>
      <c r="C22" s="20"/>
      <c r="D22" s="20"/>
      <c r="E22" s="20">
        <v>2.5</v>
      </c>
      <c r="F22" s="19">
        <f t="shared" si="0"/>
        <v>2.5</v>
      </c>
      <c r="G22" s="96" t="e">
        <f t="shared" si="1"/>
        <v>#DIV/0!</v>
      </c>
    </row>
    <row r="23" spans="1:11" s="62" customFormat="1" ht="41.25" customHeight="1">
      <c r="A23" s="58" t="s">
        <v>295</v>
      </c>
      <c r="B23" s="238"/>
      <c r="C23" s="20"/>
      <c r="D23" s="20"/>
      <c r="E23" s="20">
        <v>0.9</v>
      </c>
      <c r="F23" s="19">
        <f t="shared" si="0"/>
        <v>0.9</v>
      </c>
      <c r="G23" s="96" t="e">
        <f t="shared" si="1"/>
        <v>#DIV/0!</v>
      </c>
    </row>
    <row r="24" spans="1:11" s="62" customFormat="1" ht="26.25" customHeight="1">
      <c r="A24" s="58" t="s">
        <v>296</v>
      </c>
      <c r="B24" s="238"/>
      <c r="C24" s="20"/>
      <c r="D24" s="20"/>
      <c r="E24" s="20">
        <v>1.3</v>
      </c>
      <c r="F24" s="19">
        <f t="shared" si="0"/>
        <v>1.3</v>
      </c>
      <c r="G24" s="96" t="e">
        <f t="shared" si="1"/>
        <v>#DIV/0!</v>
      </c>
    </row>
    <row r="25" spans="1:11" s="62" customFormat="1" ht="31.5" customHeight="1">
      <c r="A25" s="58" t="s">
        <v>297</v>
      </c>
      <c r="B25" s="238"/>
      <c r="C25" s="20"/>
      <c r="D25" s="20"/>
      <c r="E25" s="20">
        <v>0.5</v>
      </c>
      <c r="F25" s="19">
        <f t="shared" si="0"/>
        <v>0.5</v>
      </c>
      <c r="G25" s="96" t="e">
        <f t="shared" si="1"/>
        <v>#DIV/0!</v>
      </c>
    </row>
    <row r="26" spans="1:11" s="62" customFormat="1" ht="30" customHeight="1">
      <c r="A26" s="58" t="s">
        <v>298</v>
      </c>
      <c r="B26" s="238"/>
      <c r="C26" s="20"/>
      <c r="D26" s="20"/>
      <c r="E26" s="20">
        <v>1.8</v>
      </c>
      <c r="F26" s="19">
        <f t="shared" si="0"/>
        <v>1.8</v>
      </c>
      <c r="G26" s="96" t="e">
        <f t="shared" si="1"/>
        <v>#DIV/0!</v>
      </c>
    </row>
    <row r="27" spans="1:11" s="62" customFormat="1" ht="30" customHeight="1">
      <c r="A27" s="58" t="s">
        <v>299</v>
      </c>
      <c r="B27" s="238"/>
      <c r="C27" s="20"/>
      <c r="D27" s="20"/>
      <c r="E27" s="20">
        <v>7.2</v>
      </c>
      <c r="F27" s="19">
        <f t="shared" si="0"/>
        <v>7.2</v>
      </c>
      <c r="G27" s="96" t="e">
        <f t="shared" si="1"/>
        <v>#DIV/0!</v>
      </c>
    </row>
    <row r="28" spans="1:11" s="62" customFormat="1" ht="30" customHeight="1">
      <c r="A28" s="58" t="s">
        <v>300</v>
      </c>
      <c r="B28" s="238"/>
      <c r="C28" s="20"/>
      <c r="D28" s="20"/>
      <c r="E28" s="20">
        <v>16.5</v>
      </c>
      <c r="F28" s="19">
        <f t="shared" si="0"/>
        <v>16.5</v>
      </c>
      <c r="G28" s="96" t="e">
        <f t="shared" si="1"/>
        <v>#DIV/0!</v>
      </c>
    </row>
    <row r="29" spans="1:11" s="62" customFormat="1" ht="30" customHeight="1">
      <c r="A29" s="58" t="s">
        <v>301</v>
      </c>
      <c r="B29" s="238"/>
      <c r="C29" s="20"/>
      <c r="D29" s="20"/>
      <c r="E29" s="20">
        <v>18.899999999999999</v>
      </c>
      <c r="F29" s="19">
        <f t="shared" si="0"/>
        <v>18.899999999999999</v>
      </c>
      <c r="G29" s="96" t="e">
        <f t="shared" si="1"/>
        <v>#DIV/0!</v>
      </c>
    </row>
    <row r="30" spans="1:11" s="62" customFormat="1" ht="30" customHeight="1">
      <c r="A30" s="58" t="s">
        <v>302</v>
      </c>
      <c r="B30" s="238"/>
      <c r="C30" s="20"/>
      <c r="D30" s="20"/>
      <c r="E30" s="20">
        <v>29.8</v>
      </c>
      <c r="F30" s="19">
        <f t="shared" si="0"/>
        <v>29.8</v>
      </c>
      <c r="G30" s="96" t="e">
        <f t="shared" si="1"/>
        <v>#DIV/0!</v>
      </c>
    </row>
    <row r="31" spans="1:11" s="62" customFormat="1" ht="30" customHeight="1">
      <c r="A31" s="58" t="s">
        <v>303</v>
      </c>
      <c r="B31" s="238"/>
      <c r="C31" s="20"/>
      <c r="D31" s="20"/>
      <c r="E31" s="20">
        <v>26.7</v>
      </c>
      <c r="F31" s="19">
        <f t="shared" si="0"/>
        <v>26.7</v>
      </c>
      <c r="G31" s="96" t="e">
        <f t="shared" si="1"/>
        <v>#DIV/0!</v>
      </c>
      <c r="K31" s="240"/>
    </row>
    <row r="32" spans="1:11" s="62" customFormat="1" ht="30" customHeight="1">
      <c r="A32" s="58" t="s">
        <v>304</v>
      </c>
      <c r="B32" s="238"/>
      <c r="C32" s="20"/>
      <c r="D32" s="20"/>
      <c r="E32" s="20">
        <v>4.5999999999999996</v>
      </c>
      <c r="F32" s="19">
        <f t="shared" si="0"/>
        <v>4.5999999999999996</v>
      </c>
      <c r="G32" s="96" t="e">
        <f t="shared" si="1"/>
        <v>#DIV/0!</v>
      </c>
    </row>
    <row r="33" spans="1:8" s="62" customFormat="1" ht="30" customHeight="1">
      <c r="A33" s="58" t="s">
        <v>305</v>
      </c>
      <c r="B33" s="238"/>
      <c r="C33" s="20"/>
      <c r="D33" s="20"/>
      <c r="E33" s="20">
        <v>8.9</v>
      </c>
      <c r="F33" s="19">
        <f t="shared" si="0"/>
        <v>8.9</v>
      </c>
      <c r="G33" s="96" t="e">
        <f t="shared" si="1"/>
        <v>#DIV/0!</v>
      </c>
    </row>
    <row r="34" spans="1:8" s="62" customFormat="1" ht="30" customHeight="1">
      <c r="A34" s="58" t="s">
        <v>306</v>
      </c>
      <c r="B34" s="238"/>
      <c r="C34" s="20"/>
      <c r="D34" s="20"/>
      <c r="E34" s="20">
        <v>10</v>
      </c>
      <c r="F34" s="19">
        <f t="shared" si="0"/>
        <v>10</v>
      </c>
      <c r="G34" s="96" t="e">
        <f t="shared" si="1"/>
        <v>#DIV/0!</v>
      </c>
    </row>
    <row r="35" spans="1:8" s="62" customFormat="1" ht="30" customHeight="1">
      <c r="A35" s="58" t="s">
        <v>307</v>
      </c>
      <c r="B35" s="238"/>
      <c r="C35" s="20"/>
      <c r="D35" s="20"/>
      <c r="E35" s="20">
        <v>0.2</v>
      </c>
      <c r="F35" s="19">
        <f t="shared" si="0"/>
        <v>0.2</v>
      </c>
      <c r="G35" s="96" t="e">
        <f t="shared" si="1"/>
        <v>#DIV/0!</v>
      </c>
    </row>
    <row r="36" spans="1:8" s="62" customFormat="1" ht="30" customHeight="1">
      <c r="A36" s="58" t="s">
        <v>308</v>
      </c>
      <c r="B36" s="238"/>
      <c r="C36" s="20"/>
      <c r="D36" s="20"/>
      <c r="E36" s="20">
        <v>1</v>
      </c>
      <c r="F36" s="19">
        <f t="shared" si="0"/>
        <v>1</v>
      </c>
      <c r="G36" s="96" t="e">
        <f t="shared" si="1"/>
        <v>#DIV/0!</v>
      </c>
    </row>
    <row r="37" spans="1:8" ht="27" customHeight="1">
      <c r="A37" s="239" t="s">
        <v>224</v>
      </c>
      <c r="B37" s="57"/>
      <c r="C37" s="20">
        <v>22</v>
      </c>
      <c r="D37" s="20"/>
      <c r="E37" s="20"/>
      <c r="F37" s="20">
        <f t="shared" si="0"/>
        <v>0</v>
      </c>
      <c r="G37" s="95" t="e">
        <f t="shared" si="1"/>
        <v>#DIV/0!</v>
      </c>
    </row>
    <row r="38" spans="1:8" ht="27.75" customHeight="1">
      <c r="A38" s="83" t="s">
        <v>39</v>
      </c>
      <c r="B38" s="63">
        <v>4060</v>
      </c>
      <c r="C38" s="53">
        <f>C39</f>
        <v>304.89999999999998</v>
      </c>
      <c r="D38" s="53">
        <f>D39</f>
        <v>0</v>
      </c>
      <c r="E38" s="53">
        <f>E39</f>
        <v>0</v>
      </c>
      <c r="F38" s="53">
        <f t="shared" si="0"/>
        <v>0</v>
      </c>
      <c r="G38" s="96" t="e">
        <f t="shared" si="1"/>
        <v>#DIV/0!</v>
      </c>
    </row>
    <row r="39" spans="1:8" ht="83.25" customHeight="1">
      <c r="A39" s="58" t="s">
        <v>309</v>
      </c>
      <c r="B39" s="57"/>
      <c r="C39" s="20">
        <v>304.89999999999998</v>
      </c>
      <c r="D39" s="20"/>
      <c r="E39" s="20"/>
      <c r="F39" s="20">
        <f t="shared" si="0"/>
        <v>0</v>
      </c>
      <c r="G39" s="95" t="e">
        <f t="shared" si="1"/>
        <v>#DIV/0!</v>
      </c>
    </row>
    <row r="40" spans="1:8" ht="27" customHeight="1">
      <c r="A40" s="99"/>
      <c r="B40" s="64"/>
      <c r="C40" s="28"/>
      <c r="D40" s="28"/>
      <c r="E40" s="28"/>
      <c r="F40" s="28"/>
      <c r="G40" s="30"/>
    </row>
    <row r="41" spans="1:8" ht="26.25" customHeight="1">
      <c r="A41" s="82" t="s">
        <v>269</v>
      </c>
      <c r="B41" s="22"/>
      <c r="C41" s="285"/>
      <c r="D41" s="285"/>
      <c r="E41" s="288" t="s">
        <v>207</v>
      </c>
      <c r="F41" s="288"/>
      <c r="G41" s="288"/>
      <c r="H41" s="59"/>
    </row>
    <row r="42" spans="1:8">
      <c r="A42" s="98" t="s">
        <v>60</v>
      </c>
      <c r="B42" s="23"/>
      <c r="C42" s="286" t="s">
        <v>66</v>
      </c>
      <c r="D42" s="286"/>
      <c r="E42" s="99"/>
      <c r="F42" s="23" t="s">
        <v>17</v>
      </c>
    </row>
    <row r="43" spans="1:8">
      <c r="A43" s="60"/>
      <c r="C43" s="103"/>
      <c r="D43" s="61"/>
      <c r="E43" s="61"/>
      <c r="F43" s="61"/>
    </row>
    <row r="44" spans="1:8">
      <c r="A44" s="60"/>
      <c r="C44" s="103"/>
      <c r="D44" s="61"/>
      <c r="E44" s="61"/>
      <c r="F44" s="61"/>
    </row>
    <row r="45" spans="1:8">
      <c r="A45" s="60"/>
      <c r="C45" s="103"/>
      <c r="D45" s="61"/>
      <c r="E45" s="61"/>
      <c r="F45" s="61"/>
    </row>
    <row r="46" spans="1:8">
      <c r="A46" s="60"/>
      <c r="C46" s="103"/>
      <c r="D46" s="61"/>
      <c r="E46" s="61"/>
      <c r="F46" s="61"/>
    </row>
    <row r="47" spans="1:8">
      <c r="A47" s="60"/>
      <c r="C47" s="103"/>
      <c r="D47" s="61"/>
      <c r="E47" s="61"/>
      <c r="F47" s="61"/>
    </row>
    <row r="48" spans="1:8">
      <c r="A48" s="60"/>
      <c r="C48" s="103"/>
      <c r="D48" s="61"/>
      <c r="E48" s="61"/>
      <c r="F48" s="61"/>
    </row>
    <row r="49" spans="1:6">
      <c r="A49" s="60"/>
      <c r="C49" s="103"/>
      <c r="D49" s="61"/>
      <c r="E49" s="61"/>
      <c r="F49" s="61"/>
    </row>
    <row r="50" spans="1:6">
      <c r="A50" s="60"/>
      <c r="C50" s="103"/>
      <c r="D50" s="61"/>
      <c r="E50" s="61"/>
      <c r="F50" s="61"/>
    </row>
    <row r="51" spans="1:6">
      <c r="A51" s="60"/>
      <c r="C51" s="103"/>
      <c r="D51" s="61"/>
      <c r="E51" s="61"/>
      <c r="F51" s="61"/>
    </row>
    <row r="52" spans="1:6">
      <c r="A52" s="60"/>
      <c r="C52" s="103"/>
      <c r="D52" s="61"/>
      <c r="E52" s="61"/>
      <c r="F52" s="61"/>
    </row>
    <row r="53" spans="1:6">
      <c r="A53" s="60"/>
      <c r="C53" s="103"/>
      <c r="D53" s="61"/>
      <c r="E53" s="61"/>
      <c r="F53" s="61"/>
    </row>
    <row r="54" spans="1:6">
      <c r="A54" s="60"/>
      <c r="C54" s="103"/>
      <c r="D54" s="61"/>
      <c r="E54" s="61"/>
      <c r="F54" s="61"/>
    </row>
    <row r="55" spans="1:6">
      <c r="A55" s="60"/>
      <c r="C55" s="103"/>
      <c r="D55" s="61"/>
      <c r="E55" s="61"/>
      <c r="F55" s="61"/>
    </row>
    <row r="56" spans="1:6">
      <c r="A56" s="60"/>
      <c r="C56" s="103"/>
      <c r="D56" s="61"/>
      <c r="E56" s="61"/>
      <c r="F56" s="61"/>
    </row>
    <row r="57" spans="1:6">
      <c r="A57" s="60"/>
      <c r="C57" s="103"/>
      <c r="D57" s="61"/>
      <c r="E57" s="61"/>
      <c r="F57" s="61"/>
    </row>
    <row r="58" spans="1:6">
      <c r="A58" s="60"/>
      <c r="C58" s="103"/>
      <c r="D58" s="61"/>
      <c r="E58" s="61"/>
      <c r="F58" s="61"/>
    </row>
    <row r="59" spans="1:6">
      <c r="A59" s="60"/>
      <c r="C59" s="103"/>
      <c r="D59" s="61"/>
      <c r="E59" s="61"/>
      <c r="F59" s="61"/>
    </row>
    <row r="60" spans="1:6">
      <c r="A60" s="60"/>
      <c r="C60" s="103"/>
      <c r="D60" s="61"/>
      <c r="E60" s="61"/>
      <c r="F60" s="61"/>
    </row>
    <row r="61" spans="1:6">
      <c r="A61" s="60"/>
      <c r="C61" s="103"/>
      <c r="D61" s="61"/>
      <c r="E61" s="61"/>
      <c r="F61" s="61"/>
    </row>
    <row r="62" spans="1:6">
      <c r="A62" s="60"/>
      <c r="C62" s="103"/>
      <c r="D62" s="61"/>
      <c r="E62" s="61"/>
      <c r="F62" s="61"/>
    </row>
    <row r="63" spans="1:6">
      <c r="A63" s="60"/>
      <c r="C63" s="103"/>
      <c r="D63" s="61"/>
      <c r="E63" s="61"/>
      <c r="F63" s="61"/>
    </row>
    <row r="64" spans="1:6">
      <c r="A64" s="60"/>
      <c r="C64" s="103"/>
      <c r="D64" s="61"/>
      <c r="E64" s="61"/>
      <c r="F64" s="61"/>
    </row>
    <row r="65" spans="1:6">
      <c r="A65" s="60"/>
      <c r="C65" s="103"/>
      <c r="D65" s="61"/>
      <c r="E65" s="61"/>
      <c r="F65" s="61"/>
    </row>
    <row r="66" spans="1:6">
      <c r="A66" s="60"/>
      <c r="C66" s="103"/>
      <c r="D66" s="61"/>
      <c r="E66" s="61"/>
      <c r="F66" s="61"/>
    </row>
    <row r="67" spans="1:6">
      <c r="A67" s="60"/>
      <c r="C67" s="103"/>
      <c r="D67" s="61"/>
      <c r="E67" s="61"/>
      <c r="F67" s="61"/>
    </row>
    <row r="68" spans="1:6">
      <c r="A68" s="60"/>
      <c r="C68" s="103"/>
      <c r="D68" s="61"/>
      <c r="E68" s="61"/>
      <c r="F68" s="61"/>
    </row>
    <row r="69" spans="1:6">
      <c r="A69" s="60"/>
      <c r="C69" s="103"/>
      <c r="D69" s="61"/>
      <c r="E69" s="61"/>
      <c r="F69" s="61"/>
    </row>
    <row r="70" spans="1:6">
      <c r="A70" s="60"/>
      <c r="C70" s="103"/>
      <c r="D70" s="61"/>
      <c r="E70" s="61"/>
      <c r="F70" s="61"/>
    </row>
    <row r="71" spans="1:6">
      <c r="A71" s="60"/>
      <c r="C71" s="103"/>
      <c r="D71" s="61"/>
      <c r="E71" s="61"/>
      <c r="F71" s="61"/>
    </row>
    <row r="72" spans="1:6">
      <c r="A72" s="60"/>
      <c r="C72" s="103"/>
      <c r="D72" s="61"/>
      <c r="E72" s="61"/>
      <c r="F72" s="61"/>
    </row>
    <row r="73" spans="1:6">
      <c r="A73" s="60"/>
      <c r="C73" s="103"/>
      <c r="D73" s="61"/>
      <c r="E73" s="61"/>
      <c r="F73" s="61"/>
    </row>
    <row r="74" spans="1:6">
      <c r="A74" s="60"/>
      <c r="C74" s="103"/>
      <c r="D74" s="61"/>
      <c r="E74" s="61"/>
      <c r="F74" s="61"/>
    </row>
    <row r="75" spans="1:6">
      <c r="A75" s="60"/>
      <c r="C75" s="103"/>
      <c r="D75" s="61"/>
      <c r="E75" s="61"/>
      <c r="F75" s="61"/>
    </row>
    <row r="76" spans="1:6">
      <c r="A76" s="60"/>
      <c r="C76" s="103"/>
      <c r="D76" s="61"/>
      <c r="E76" s="61"/>
      <c r="F76" s="61"/>
    </row>
    <row r="77" spans="1:6">
      <c r="A77" s="60"/>
      <c r="C77" s="103"/>
      <c r="D77" s="61"/>
      <c r="E77" s="61"/>
      <c r="F77" s="61"/>
    </row>
    <row r="78" spans="1:6">
      <c r="A78" s="60"/>
      <c r="C78" s="103"/>
      <c r="D78" s="61"/>
      <c r="E78" s="61"/>
      <c r="F78" s="61"/>
    </row>
    <row r="79" spans="1:6">
      <c r="A79" s="60"/>
      <c r="C79" s="103"/>
      <c r="D79" s="61"/>
      <c r="E79" s="61"/>
      <c r="F79" s="61"/>
    </row>
    <row r="80" spans="1:6">
      <c r="A80" s="60"/>
      <c r="C80" s="103"/>
      <c r="D80" s="61"/>
      <c r="E80" s="61"/>
      <c r="F80" s="61"/>
    </row>
    <row r="81" spans="1:6">
      <c r="A81" s="60"/>
      <c r="C81" s="103"/>
      <c r="D81" s="61"/>
      <c r="E81" s="61"/>
      <c r="F81" s="61"/>
    </row>
    <row r="82" spans="1:6">
      <c r="A82" s="60"/>
      <c r="C82" s="103"/>
      <c r="D82" s="61"/>
      <c r="E82" s="61"/>
      <c r="F82" s="61"/>
    </row>
    <row r="83" spans="1:6">
      <c r="A83" s="60"/>
      <c r="C83" s="103"/>
      <c r="D83" s="61"/>
      <c r="E83" s="61"/>
      <c r="F83" s="61"/>
    </row>
    <row r="84" spans="1:6">
      <c r="A84" s="60"/>
      <c r="C84" s="103"/>
      <c r="D84" s="61"/>
      <c r="E84" s="61"/>
      <c r="F84" s="61"/>
    </row>
    <row r="85" spans="1:6">
      <c r="A85" s="60"/>
      <c r="C85" s="103"/>
      <c r="D85" s="61"/>
      <c r="E85" s="61"/>
      <c r="F85" s="61"/>
    </row>
    <row r="86" spans="1:6">
      <c r="A86" s="60"/>
      <c r="C86" s="103"/>
      <c r="D86" s="61"/>
      <c r="E86" s="61"/>
      <c r="F86" s="61"/>
    </row>
    <row r="87" spans="1:6">
      <c r="A87" s="60"/>
      <c r="C87" s="103"/>
      <c r="D87" s="61"/>
      <c r="E87" s="61"/>
      <c r="F87" s="61"/>
    </row>
    <row r="88" spans="1:6">
      <c r="A88" s="60"/>
      <c r="C88" s="103"/>
      <c r="D88" s="61"/>
      <c r="E88" s="61"/>
      <c r="F88" s="61"/>
    </row>
    <row r="89" spans="1:6">
      <c r="A89" s="60"/>
      <c r="C89" s="103"/>
      <c r="D89" s="61"/>
      <c r="E89" s="61"/>
      <c r="F89" s="61"/>
    </row>
    <row r="90" spans="1:6">
      <c r="A90" s="60"/>
      <c r="C90" s="103"/>
      <c r="D90" s="61"/>
      <c r="E90" s="61"/>
      <c r="F90" s="61"/>
    </row>
    <row r="91" spans="1:6">
      <c r="A91" s="60"/>
      <c r="C91" s="103"/>
      <c r="D91" s="61"/>
      <c r="E91" s="61"/>
      <c r="F91" s="61"/>
    </row>
    <row r="92" spans="1:6">
      <c r="A92" s="60"/>
      <c r="C92" s="103"/>
      <c r="D92" s="61"/>
      <c r="E92" s="61"/>
      <c r="F92" s="61"/>
    </row>
    <row r="93" spans="1:6">
      <c r="A93" s="60"/>
      <c r="C93" s="103"/>
      <c r="D93" s="61"/>
      <c r="E93" s="61"/>
      <c r="F93" s="61"/>
    </row>
    <row r="94" spans="1:6">
      <c r="A94" s="60"/>
      <c r="C94" s="103"/>
      <c r="D94" s="61"/>
      <c r="E94" s="61"/>
      <c r="F94" s="61"/>
    </row>
    <row r="95" spans="1:6">
      <c r="A95" s="60"/>
      <c r="C95" s="103"/>
      <c r="D95" s="61"/>
      <c r="E95" s="61"/>
      <c r="F95" s="61"/>
    </row>
    <row r="96" spans="1:6">
      <c r="A96" s="60"/>
      <c r="C96" s="103"/>
      <c r="D96" s="61"/>
      <c r="E96" s="61"/>
      <c r="F96" s="61"/>
    </row>
    <row r="97" spans="1:1">
      <c r="A97" s="60"/>
    </row>
    <row r="98" spans="1:1">
      <c r="A98" s="66"/>
    </row>
    <row r="99" spans="1:1">
      <c r="A99" s="66"/>
    </row>
    <row r="100" spans="1:1">
      <c r="A100" s="66"/>
    </row>
    <row r="101" spans="1:1">
      <c r="A101" s="66"/>
    </row>
    <row r="102" spans="1:1">
      <c r="A102" s="66"/>
    </row>
    <row r="103" spans="1:1">
      <c r="A103" s="66"/>
    </row>
    <row r="104" spans="1:1">
      <c r="A104" s="66"/>
    </row>
    <row r="105" spans="1:1">
      <c r="A105" s="66"/>
    </row>
    <row r="106" spans="1:1">
      <c r="A106" s="66"/>
    </row>
    <row r="107" spans="1:1">
      <c r="A107" s="66"/>
    </row>
    <row r="108" spans="1:1">
      <c r="A108" s="66"/>
    </row>
    <row r="109" spans="1:1">
      <c r="A109" s="66"/>
    </row>
    <row r="110" spans="1:1">
      <c r="A110" s="66"/>
    </row>
    <row r="111" spans="1:1">
      <c r="A111" s="66"/>
    </row>
    <row r="112" spans="1:1">
      <c r="A112" s="66"/>
    </row>
    <row r="113" spans="1:1">
      <c r="A113" s="66"/>
    </row>
    <row r="114" spans="1:1">
      <c r="A114" s="66"/>
    </row>
    <row r="115" spans="1:1">
      <c r="A115" s="66"/>
    </row>
    <row r="116" spans="1:1">
      <c r="A116" s="66"/>
    </row>
    <row r="117" spans="1:1">
      <c r="A117" s="66"/>
    </row>
    <row r="118" spans="1:1">
      <c r="A118" s="66"/>
    </row>
    <row r="119" spans="1:1">
      <c r="A119" s="66"/>
    </row>
    <row r="120" spans="1:1">
      <c r="A120" s="66"/>
    </row>
    <row r="121" spans="1:1">
      <c r="A121" s="66"/>
    </row>
    <row r="122" spans="1:1">
      <c r="A122" s="66"/>
    </row>
    <row r="123" spans="1:1">
      <c r="A123" s="66"/>
    </row>
    <row r="124" spans="1:1">
      <c r="A124" s="66"/>
    </row>
    <row r="125" spans="1:1">
      <c r="A125" s="66"/>
    </row>
    <row r="126" spans="1:1">
      <c r="A126" s="66"/>
    </row>
    <row r="127" spans="1:1">
      <c r="A127" s="66"/>
    </row>
    <row r="128" spans="1:1">
      <c r="A128" s="66"/>
    </row>
    <row r="129" spans="1:1">
      <c r="A129" s="66"/>
    </row>
    <row r="130" spans="1:1">
      <c r="A130" s="66"/>
    </row>
    <row r="131" spans="1:1">
      <c r="A131" s="66"/>
    </row>
    <row r="132" spans="1:1">
      <c r="A132" s="66"/>
    </row>
    <row r="133" spans="1:1">
      <c r="A133" s="66"/>
    </row>
    <row r="134" spans="1:1">
      <c r="A134" s="66"/>
    </row>
    <row r="135" spans="1:1">
      <c r="A135" s="66"/>
    </row>
    <row r="136" spans="1:1">
      <c r="A136" s="66"/>
    </row>
    <row r="137" spans="1:1">
      <c r="A137" s="66"/>
    </row>
    <row r="138" spans="1:1">
      <c r="A138" s="66"/>
    </row>
    <row r="139" spans="1:1">
      <c r="A139" s="66"/>
    </row>
    <row r="140" spans="1:1">
      <c r="A140" s="66"/>
    </row>
    <row r="141" spans="1:1">
      <c r="A141" s="66"/>
    </row>
    <row r="142" spans="1:1">
      <c r="A142" s="66"/>
    </row>
    <row r="143" spans="1:1">
      <c r="A143" s="66"/>
    </row>
    <row r="144" spans="1:1">
      <c r="A144" s="66"/>
    </row>
    <row r="145" spans="1:1">
      <c r="A145" s="66"/>
    </row>
    <row r="146" spans="1:1">
      <c r="A146" s="66"/>
    </row>
    <row r="147" spans="1:1">
      <c r="A147" s="66"/>
    </row>
    <row r="148" spans="1:1">
      <c r="A148" s="66"/>
    </row>
    <row r="149" spans="1:1">
      <c r="A149" s="66"/>
    </row>
    <row r="150" spans="1:1">
      <c r="A150" s="66"/>
    </row>
    <row r="151" spans="1:1">
      <c r="A151" s="66"/>
    </row>
    <row r="152" spans="1:1">
      <c r="A152" s="66"/>
    </row>
    <row r="153" spans="1:1">
      <c r="A153" s="66"/>
    </row>
    <row r="154" spans="1:1">
      <c r="A154" s="66"/>
    </row>
    <row r="155" spans="1:1">
      <c r="A155" s="66"/>
    </row>
    <row r="156" spans="1:1">
      <c r="A156" s="66"/>
    </row>
    <row r="157" spans="1:1">
      <c r="A157" s="66"/>
    </row>
    <row r="158" spans="1:1">
      <c r="A158" s="66"/>
    </row>
    <row r="159" spans="1:1">
      <c r="A159" s="66"/>
    </row>
    <row r="160" spans="1:1">
      <c r="A160" s="66"/>
    </row>
    <row r="161" spans="1:1">
      <c r="A161" s="66"/>
    </row>
    <row r="162" spans="1:1">
      <c r="A162" s="66"/>
    </row>
    <row r="163" spans="1:1">
      <c r="A163" s="66"/>
    </row>
    <row r="164" spans="1:1">
      <c r="A164" s="66"/>
    </row>
    <row r="165" spans="1:1">
      <c r="A165" s="66"/>
    </row>
    <row r="166" spans="1:1">
      <c r="A166" s="66"/>
    </row>
    <row r="167" spans="1:1">
      <c r="A167" s="66"/>
    </row>
    <row r="168" spans="1:1">
      <c r="A168" s="66"/>
    </row>
    <row r="169" spans="1:1">
      <c r="A169" s="66"/>
    </row>
    <row r="170" spans="1:1">
      <c r="A170" s="66"/>
    </row>
    <row r="171" spans="1:1">
      <c r="A171" s="66"/>
    </row>
    <row r="172" spans="1:1">
      <c r="A172" s="66"/>
    </row>
    <row r="173" spans="1:1">
      <c r="A173" s="66"/>
    </row>
    <row r="174" spans="1:1">
      <c r="A174" s="66"/>
    </row>
    <row r="175" spans="1:1">
      <c r="A175" s="66"/>
    </row>
    <row r="176" spans="1:1">
      <c r="A176" s="66"/>
    </row>
    <row r="177" spans="1:1">
      <c r="A177" s="66"/>
    </row>
    <row r="178" spans="1:1">
      <c r="A178" s="66"/>
    </row>
    <row r="179" spans="1:1">
      <c r="A179" s="66"/>
    </row>
    <row r="180" spans="1:1">
      <c r="A180" s="66"/>
    </row>
    <row r="181" spans="1:1">
      <c r="A181" s="66"/>
    </row>
    <row r="182" spans="1:1">
      <c r="A182" s="66"/>
    </row>
    <row r="183" spans="1:1">
      <c r="A183" s="66"/>
    </row>
    <row r="184" spans="1:1">
      <c r="A184" s="66"/>
    </row>
    <row r="185" spans="1:1">
      <c r="A185" s="66"/>
    </row>
    <row r="186" spans="1:1">
      <c r="A186" s="66"/>
    </row>
    <row r="187" spans="1:1">
      <c r="A187" s="66"/>
    </row>
    <row r="188" spans="1:1">
      <c r="A188" s="66"/>
    </row>
    <row r="189" spans="1:1">
      <c r="A189" s="66"/>
    </row>
    <row r="190" spans="1:1">
      <c r="A190" s="66"/>
    </row>
    <row r="191" spans="1:1">
      <c r="A191" s="66"/>
    </row>
    <row r="192" spans="1:1">
      <c r="A192" s="66"/>
    </row>
    <row r="193" spans="1:1">
      <c r="A193" s="66"/>
    </row>
    <row r="194" spans="1:1">
      <c r="A194" s="66"/>
    </row>
    <row r="195" spans="1:1">
      <c r="A195" s="66"/>
    </row>
    <row r="196" spans="1:1">
      <c r="A196" s="66"/>
    </row>
    <row r="197" spans="1:1">
      <c r="A197" s="66"/>
    </row>
    <row r="198" spans="1:1">
      <c r="A198" s="66"/>
    </row>
    <row r="199" spans="1:1">
      <c r="A199" s="66"/>
    </row>
    <row r="200" spans="1:1">
      <c r="A200" s="66"/>
    </row>
    <row r="201" spans="1:1">
      <c r="A201" s="66"/>
    </row>
    <row r="202" spans="1:1">
      <c r="A202" s="66"/>
    </row>
    <row r="203" spans="1:1">
      <c r="A203" s="66"/>
    </row>
    <row r="204" spans="1:1">
      <c r="A204" s="66"/>
    </row>
    <row r="205" spans="1:1">
      <c r="A205" s="66"/>
    </row>
    <row r="206" spans="1:1">
      <c r="A206" s="66"/>
    </row>
    <row r="207" spans="1:1">
      <c r="A207" s="66"/>
    </row>
    <row r="208" spans="1:1">
      <c r="A208" s="66"/>
    </row>
    <row r="209" spans="1:1">
      <c r="A209" s="66"/>
    </row>
    <row r="210" spans="1:1">
      <c r="A210" s="66"/>
    </row>
    <row r="211" spans="1:1">
      <c r="A211" s="66"/>
    </row>
    <row r="212" spans="1:1">
      <c r="A212" s="66"/>
    </row>
    <row r="213" spans="1:1">
      <c r="A213" s="66"/>
    </row>
    <row r="214" spans="1:1">
      <c r="A214" s="66"/>
    </row>
    <row r="215" spans="1:1">
      <c r="A215" s="66"/>
    </row>
    <row r="216" spans="1:1">
      <c r="A216" s="66"/>
    </row>
    <row r="217" spans="1:1">
      <c r="A217" s="66"/>
    </row>
    <row r="218" spans="1:1">
      <c r="A218" s="66"/>
    </row>
    <row r="219" spans="1:1">
      <c r="A219" s="66"/>
    </row>
    <row r="220" spans="1:1">
      <c r="A220" s="66"/>
    </row>
    <row r="221" spans="1:1">
      <c r="A221" s="66"/>
    </row>
    <row r="222" spans="1:1">
      <c r="A222" s="66"/>
    </row>
    <row r="223" spans="1:1">
      <c r="A223" s="66"/>
    </row>
    <row r="224" spans="1:1">
      <c r="A224" s="66"/>
    </row>
    <row r="225" spans="1:1">
      <c r="A225" s="66"/>
    </row>
    <row r="226" spans="1:1">
      <c r="A226" s="66"/>
    </row>
    <row r="227" spans="1:1">
      <c r="A227" s="66"/>
    </row>
    <row r="228" spans="1:1">
      <c r="A228" s="66"/>
    </row>
    <row r="229" spans="1:1">
      <c r="A229" s="66"/>
    </row>
    <row r="230" spans="1:1">
      <c r="A230" s="66"/>
    </row>
    <row r="231" spans="1:1">
      <c r="A231" s="66"/>
    </row>
    <row r="232" spans="1:1">
      <c r="A232" s="66"/>
    </row>
    <row r="233" spans="1:1">
      <c r="A233" s="66"/>
    </row>
    <row r="234" spans="1:1">
      <c r="A234" s="66"/>
    </row>
    <row r="235" spans="1:1">
      <c r="A235" s="66"/>
    </row>
    <row r="236" spans="1:1">
      <c r="A236" s="66"/>
    </row>
    <row r="237" spans="1:1">
      <c r="A237" s="66"/>
    </row>
    <row r="238" spans="1:1">
      <c r="A238" s="66"/>
    </row>
    <row r="239" spans="1:1">
      <c r="A239" s="66"/>
    </row>
    <row r="240" spans="1:1">
      <c r="A240" s="66"/>
    </row>
    <row r="241" spans="1:1">
      <c r="A241" s="66"/>
    </row>
    <row r="242" spans="1:1">
      <c r="A242" s="66"/>
    </row>
    <row r="243" spans="1:1">
      <c r="A243" s="66"/>
    </row>
    <row r="244" spans="1:1">
      <c r="A244" s="66"/>
    </row>
    <row r="245" spans="1:1">
      <c r="A245" s="66"/>
    </row>
    <row r="246" spans="1:1">
      <c r="A246" s="66"/>
    </row>
    <row r="247" spans="1:1">
      <c r="A247" s="66"/>
    </row>
    <row r="248" spans="1:1">
      <c r="A248" s="66"/>
    </row>
    <row r="249" spans="1:1">
      <c r="A249" s="66"/>
    </row>
    <row r="250" spans="1:1">
      <c r="A250" s="66"/>
    </row>
    <row r="251" spans="1:1">
      <c r="A251" s="66"/>
    </row>
    <row r="252" spans="1:1">
      <c r="A252" s="66"/>
    </row>
    <row r="253" spans="1:1">
      <c r="A253" s="66"/>
    </row>
    <row r="254" spans="1:1">
      <c r="A254" s="66"/>
    </row>
    <row r="255" spans="1:1">
      <c r="A255" s="66"/>
    </row>
    <row r="256" spans="1:1">
      <c r="A256" s="66"/>
    </row>
    <row r="257" spans="1:1">
      <c r="A257" s="66"/>
    </row>
    <row r="258" spans="1:1">
      <c r="A258" s="66"/>
    </row>
    <row r="259" spans="1:1">
      <c r="A259" s="66"/>
    </row>
    <row r="260" spans="1:1">
      <c r="A260" s="66"/>
    </row>
    <row r="261" spans="1:1">
      <c r="A261" s="66"/>
    </row>
    <row r="262" spans="1:1">
      <c r="A262" s="66"/>
    </row>
    <row r="263" spans="1:1">
      <c r="A263" s="66"/>
    </row>
    <row r="264" spans="1:1">
      <c r="A264" s="66"/>
    </row>
  </sheetData>
  <mergeCells count="4">
    <mergeCell ref="C41:D41"/>
    <mergeCell ref="C42:D42"/>
    <mergeCell ref="A1:F1"/>
    <mergeCell ref="E41:G41"/>
  </mergeCells>
  <pageMargins left="0.39370078740157483" right="0.39370078740157483" top="0.78740157480314965" bottom="0.39370078740157483" header="0.19685039370078741" footer="0.19685039370078741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56"/>
  <sheetViews>
    <sheetView view="pageBreakPreview" zoomScale="55" zoomScaleNormal="60" zoomScaleSheetLayoutView="55" workbookViewId="0">
      <selection activeCell="B4" sqref="B4:D5"/>
    </sheetView>
  </sheetViews>
  <sheetFormatPr defaultRowHeight="20.25"/>
  <cols>
    <col min="1" max="1" width="9.85546875" style="14" customWidth="1"/>
    <col min="2" max="2" width="26.140625" style="14" customWidth="1"/>
    <col min="3" max="3" width="11.28515625" style="14" customWidth="1"/>
    <col min="4" max="4" width="15.28515625" style="14" customWidth="1"/>
    <col min="5" max="10" width="18.42578125" style="14" customWidth="1"/>
    <col min="11" max="11" width="18.7109375" style="14" customWidth="1"/>
    <col min="12" max="12" width="19" style="14" customWidth="1"/>
    <col min="13" max="14" width="18.42578125" style="14" customWidth="1"/>
    <col min="15" max="16" width="19.42578125" style="14" customWidth="1"/>
    <col min="17" max="16384" width="9.140625" style="14"/>
  </cols>
  <sheetData>
    <row r="1" spans="1:16">
      <c r="A1" s="31"/>
      <c r="B1" s="31"/>
      <c r="C1" s="31"/>
      <c r="D1" s="31"/>
      <c r="E1" s="31"/>
      <c r="F1" s="31"/>
      <c r="G1" s="31"/>
      <c r="H1" s="31"/>
      <c r="I1" s="32"/>
      <c r="J1" s="32"/>
      <c r="K1" s="33"/>
      <c r="L1" s="33"/>
      <c r="M1" s="33"/>
      <c r="N1" s="33"/>
      <c r="O1" s="33"/>
      <c r="P1" s="32"/>
    </row>
    <row r="2" spans="1:16" s="35" customFormat="1" ht="42.75" customHeight="1">
      <c r="A2" s="34"/>
      <c r="B2" s="34"/>
      <c r="C2" s="34"/>
      <c r="D2" s="307" t="s">
        <v>271</v>
      </c>
      <c r="E2" s="307"/>
      <c r="F2" s="307"/>
      <c r="G2" s="307"/>
      <c r="H2" s="307"/>
      <c r="I2" s="307"/>
      <c r="J2" s="307"/>
      <c r="K2" s="307"/>
      <c r="L2" s="307"/>
      <c r="M2" s="307"/>
      <c r="N2" s="34"/>
      <c r="O2" s="34"/>
      <c r="P2" s="34"/>
    </row>
    <row r="3" spans="1:16">
      <c r="A3" s="36"/>
      <c r="B3" s="36"/>
      <c r="C3" s="36"/>
      <c r="D3" s="36"/>
      <c r="E3" s="37"/>
      <c r="F3" s="37"/>
      <c r="G3" s="37"/>
      <c r="H3" s="37"/>
      <c r="I3" s="37"/>
      <c r="J3" s="37"/>
      <c r="K3" s="33"/>
      <c r="L3" s="33"/>
      <c r="M3" s="33"/>
      <c r="N3" s="33"/>
      <c r="O3" s="33"/>
      <c r="P3" s="32" t="s">
        <v>51</v>
      </c>
    </row>
    <row r="4" spans="1:16" ht="52.5" customHeight="1">
      <c r="A4" s="267" t="s">
        <v>8</v>
      </c>
      <c r="B4" s="267" t="s">
        <v>20</v>
      </c>
      <c r="C4" s="267"/>
      <c r="D4" s="267"/>
      <c r="E4" s="267" t="s">
        <v>133</v>
      </c>
      <c r="F4" s="267"/>
      <c r="G4" s="267" t="s">
        <v>134</v>
      </c>
      <c r="H4" s="267"/>
      <c r="I4" s="267" t="s">
        <v>135</v>
      </c>
      <c r="J4" s="267"/>
      <c r="K4" s="267" t="s">
        <v>372</v>
      </c>
      <c r="L4" s="267"/>
      <c r="M4" s="267" t="s">
        <v>136</v>
      </c>
      <c r="N4" s="267"/>
      <c r="O4" s="267"/>
      <c r="P4" s="267"/>
    </row>
    <row r="5" spans="1:16" ht="111" customHeight="1">
      <c r="A5" s="267"/>
      <c r="B5" s="267"/>
      <c r="C5" s="267"/>
      <c r="D5" s="267"/>
      <c r="E5" s="56" t="s">
        <v>277</v>
      </c>
      <c r="F5" s="56" t="s">
        <v>278</v>
      </c>
      <c r="G5" s="56" t="str">
        <f>E5</f>
        <v>план 
на І квартал 2023 року</v>
      </c>
      <c r="H5" s="56" t="str">
        <f>F5</f>
        <v>факт 
за І квартал 2023 року</v>
      </c>
      <c r="I5" s="56" t="str">
        <f>E5</f>
        <v>план 
на І квартал 2023 року</v>
      </c>
      <c r="J5" s="56" t="str">
        <f>F5</f>
        <v>факт 
за І квартал 2023 року</v>
      </c>
      <c r="K5" s="56" t="str">
        <f>E5</f>
        <v>план 
на І квартал 2023 року</v>
      </c>
      <c r="L5" s="56" t="str">
        <f>F5</f>
        <v>факт 
за І квартал 2023 року</v>
      </c>
      <c r="M5" s="56" t="str">
        <f>E5</f>
        <v>план 
на І квартал 2023 року</v>
      </c>
      <c r="N5" s="56" t="str">
        <f>F5</f>
        <v>факт 
за І квартал 2023 року</v>
      </c>
      <c r="O5" s="9" t="s">
        <v>110</v>
      </c>
      <c r="P5" s="9" t="s">
        <v>113</v>
      </c>
    </row>
    <row r="6" spans="1:16" ht="30" customHeight="1">
      <c r="A6" s="9">
        <v>1</v>
      </c>
      <c r="B6" s="267">
        <v>2</v>
      </c>
      <c r="C6" s="267"/>
      <c r="D6" s="267"/>
      <c r="E6" s="9">
        <v>4</v>
      </c>
      <c r="F6" s="9">
        <v>5</v>
      </c>
      <c r="G6" s="9">
        <v>7</v>
      </c>
      <c r="H6" s="9">
        <v>8</v>
      </c>
      <c r="I6" s="9">
        <v>10</v>
      </c>
      <c r="J6" s="9">
        <v>11</v>
      </c>
      <c r="K6" s="6">
        <v>13</v>
      </c>
      <c r="L6" s="6">
        <v>14</v>
      </c>
      <c r="M6" s="6">
        <v>16</v>
      </c>
      <c r="N6" s="6">
        <v>17</v>
      </c>
      <c r="O6" s="6">
        <v>18</v>
      </c>
      <c r="P6" s="6">
        <v>19</v>
      </c>
    </row>
    <row r="7" spans="1:16" ht="48" customHeight="1">
      <c r="A7" s="249" t="s">
        <v>85</v>
      </c>
      <c r="B7" s="310" t="s">
        <v>96</v>
      </c>
      <c r="C7" s="311"/>
      <c r="D7" s="311"/>
      <c r="E7" s="1">
        <f t="shared" ref="E7:L7" si="0">SUM(E8:E12)</f>
        <v>0</v>
      </c>
      <c r="F7" s="1">
        <f t="shared" si="0"/>
        <v>0</v>
      </c>
      <c r="G7" s="1">
        <f t="shared" si="0"/>
        <v>0</v>
      </c>
      <c r="H7" s="1">
        <f t="shared" si="0"/>
        <v>0</v>
      </c>
      <c r="I7" s="1">
        <f t="shared" si="0"/>
        <v>0</v>
      </c>
      <c r="J7" s="1">
        <f t="shared" si="0"/>
        <v>44</v>
      </c>
      <c r="K7" s="1">
        <f t="shared" si="0"/>
        <v>0</v>
      </c>
      <c r="L7" s="1">
        <f t="shared" si="0"/>
        <v>331.1</v>
      </c>
      <c r="M7" s="1">
        <f t="shared" ref="M7:M36" si="1">E7+G7+I7+K7</f>
        <v>0</v>
      </c>
      <c r="N7" s="1">
        <f t="shared" ref="N7:N36" si="2">F7+H7+J7+L7</f>
        <v>375.1</v>
      </c>
      <c r="O7" s="1">
        <f t="shared" ref="O7:O36" si="3">N7-M7</f>
        <v>375.1</v>
      </c>
      <c r="P7" s="86" t="e">
        <f t="shared" ref="P7:P36" si="4">(N7/M7)*100</f>
        <v>#DIV/0!</v>
      </c>
    </row>
    <row r="8" spans="1:16" ht="30" customHeight="1">
      <c r="A8" s="249"/>
      <c r="B8" s="289" t="s">
        <v>283</v>
      </c>
      <c r="C8" s="290"/>
      <c r="D8" s="291"/>
      <c r="E8" s="7"/>
      <c r="F8" s="7"/>
      <c r="G8" s="7"/>
      <c r="H8" s="7"/>
      <c r="I8" s="7"/>
      <c r="J8" s="7">
        <v>40</v>
      </c>
      <c r="K8" s="38"/>
      <c r="L8" s="38"/>
      <c r="M8" s="1">
        <f t="shared" si="1"/>
        <v>0</v>
      </c>
      <c r="N8" s="1">
        <f t="shared" si="2"/>
        <v>40</v>
      </c>
      <c r="O8" s="1">
        <f t="shared" si="3"/>
        <v>40</v>
      </c>
      <c r="P8" s="85" t="e">
        <f t="shared" si="4"/>
        <v>#DIV/0!</v>
      </c>
    </row>
    <row r="9" spans="1:16" ht="30" customHeight="1">
      <c r="A9" s="249"/>
      <c r="B9" s="241" t="s">
        <v>284</v>
      </c>
      <c r="C9" s="242"/>
      <c r="D9" s="243"/>
      <c r="E9" s="7"/>
      <c r="F9" s="7"/>
      <c r="G9" s="7"/>
      <c r="H9" s="7"/>
      <c r="I9" s="7"/>
      <c r="J9" s="7"/>
      <c r="K9" s="38"/>
      <c r="L9" s="38">
        <v>30.5</v>
      </c>
      <c r="M9" s="1"/>
      <c r="N9" s="1"/>
      <c r="O9" s="1"/>
      <c r="P9" s="85"/>
    </row>
    <row r="10" spans="1:16" ht="30" customHeight="1">
      <c r="A10" s="249"/>
      <c r="B10" s="289" t="s">
        <v>289</v>
      </c>
      <c r="C10" s="290"/>
      <c r="D10" s="291"/>
      <c r="E10" s="7"/>
      <c r="F10" s="7"/>
      <c r="G10" s="7"/>
      <c r="H10" s="7"/>
      <c r="I10" s="7"/>
      <c r="J10" s="7">
        <v>4</v>
      </c>
      <c r="K10" s="38"/>
      <c r="L10" s="38"/>
      <c r="M10" s="1"/>
      <c r="N10" s="1"/>
      <c r="O10" s="1"/>
      <c r="P10" s="85"/>
    </row>
    <row r="11" spans="1:16" ht="46.5" customHeight="1">
      <c r="A11" s="249"/>
      <c r="B11" s="295" t="s">
        <v>282</v>
      </c>
      <c r="C11" s="296"/>
      <c r="D11" s="297"/>
      <c r="E11" s="7"/>
      <c r="F11" s="7"/>
      <c r="G11" s="7"/>
      <c r="H11" s="7"/>
      <c r="I11" s="7"/>
      <c r="J11" s="7"/>
      <c r="K11" s="38"/>
      <c r="L11" s="38">
        <v>258.5</v>
      </c>
      <c r="M11" s="1"/>
      <c r="N11" s="1"/>
      <c r="O11" s="1"/>
      <c r="P11" s="85"/>
    </row>
    <row r="12" spans="1:16" ht="30" customHeight="1">
      <c r="A12" s="249"/>
      <c r="B12" s="298" t="s">
        <v>371</v>
      </c>
      <c r="C12" s="299"/>
      <c r="D12" s="300"/>
      <c r="E12" s="7"/>
      <c r="F12" s="7"/>
      <c r="G12" s="7"/>
      <c r="H12" s="7"/>
      <c r="I12" s="7"/>
      <c r="J12" s="7"/>
      <c r="K12" s="38"/>
      <c r="L12" s="38">
        <v>42.1</v>
      </c>
      <c r="M12" s="1"/>
      <c r="N12" s="1"/>
      <c r="O12" s="1"/>
      <c r="P12" s="85"/>
    </row>
    <row r="13" spans="1:16" ht="79.5" customHeight="1">
      <c r="A13" s="249" t="s">
        <v>94</v>
      </c>
      <c r="B13" s="310" t="s">
        <v>97</v>
      </c>
      <c r="C13" s="311"/>
      <c r="D13" s="311"/>
      <c r="E13" s="1">
        <f>SUM(E14:E36)</f>
        <v>0</v>
      </c>
      <c r="F13" s="1">
        <f t="shared" ref="F13:L13" si="5">SUM(F14:F36)</f>
        <v>0</v>
      </c>
      <c r="G13" s="1">
        <f t="shared" si="5"/>
        <v>0</v>
      </c>
      <c r="H13" s="1">
        <f t="shared" si="5"/>
        <v>0</v>
      </c>
      <c r="I13" s="1">
        <f t="shared" si="5"/>
        <v>0</v>
      </c>
      <c r="J13" s="1">
        <f t="shared" si="5"/>
        <v>76.5</v>
      </c>
      <c r="K13" s="1">
        <f t="shared" si="5"/>
        <v>0</v>
      </c>
      <c r="L13" s="1">
        <f t="shared" si="5"/>
        <v>77.900000000000006</v>
      </c>
      <c r="M13" s="1">
        <f t="shared" si="1"/>
        <v>0</v>
      </c>
      <c r="N13" s="1">
        <f t="shared" si="2"/>
        <v>154.4</v>
      </c>
      <c r="O13" s="1">
        <f t="shared" si="3"/>
        <v>154.4</v>
      </c>
      <c r="P13" s="86" t="e">
        <f t="shared" si="4"/>
        <v>#DIV/0!</v>
      </c>
    </row>
    <row r="14" spans="1:16" ht="27.75" customHeight="1">
      <c r="A14" s="249"/>
      <c r="B14" s="292" t="s">
        <v>285</v>
      </c>
      <c r="C14" s="293"/>
      <c r="D14" s="294"/>
      <c r="E14" s="1"/>
      <c r="F14" s="1"/>
      <c r="G14" s="1"/>
      <c r="H14" s="1"/>
      <c r="I14" s="1"/>
      <c r="J14" s="7">
        <v>1.6</v>
      </c>
      <c r="K14" s="38"/>
      <c r="L14" s="38"/>
      <c r="M14" s="1"/>
      <c r="N14" s="1"/>
      <c r="O14" s="1"/>
      <c r="P14" s="86"/>
    </row>
    <row r="15" spans="1:16" ht="27.75" customHeight="1">
      <c r="A15" s="249"/>
      <c r="B15" s="292" t="s">
        <v>286</v>
      </c>
      <c r="C15" s="293"/>
      <c r="D15" s="294"/>
      <c r="E15" s="1"/>
      <c r="F15" s="1"/>
      <c r="G15" s="1"/>
      <c r="H15" s="1"/>
      <c r="I15" s="1"/>
      <c r="J15" s="7"/>
      <c r="K15" s="38"/>
      <c r="L15" s="38">
        <v>2.2000000000000002</v>
      </c>
      <c r="M15" s="1"/>
      <c r="N15" s="1"/>
      <c r="O15" s="1"/>
      <c r="P15" s="86"/>
    </row>
    <row r="16" spans="1:16" ht="39" customHeight="1">
      <c r="A16" s="249"/>
      <c r="B16" s="292" t="s">
        <v>287</v>
      </c>
      <c r="C16" s="293"/>
      <c r="D16" s="294"/>
      <c r="E16" s="1"/>
      <c r="F16" s="1"/>
      <c r="G16" s="1"/>
      <c r="H16" s="1"/>
      <c r="I16" s="1"/>
      <c r="J16" s="7"/>
      <c r="K16" s="38"/>
      <c r="L16" s="38">
        <v>2</v>
      </c>
      <c r="M16" s="1"/>
      <c r="N16" s="1"/>
      <c r="O16" s="1"/>
      <c r="P16" s="86"/>
    </row>
    <row r="17" spans="1:16" ht="39" customHeight="1">
      <c r="A17" s="249"/>
      <c r="B17" s="292" t="s">
        <v>288</v>
      </c>
      <c r="C17" s="293"/>
      <c r="D17" s="294"/>
      <c r="E17" s="1"/>
      <c r="F17" s="1"/>
      <c r="G17" s="1"/>
      <c r="H17" s="1"/>
      <c r="I17" s="1"/>
      <c r="J17" s="7"/>
      <c r="K17" s="38"/>
      <c r="L17" s="38">
        <v>1</v>
      </c>
      <c r="M17" s="1"/>
      <c r="N17" s="1"/>
      <c r="O17" s="1"/>
      <c r="P17" s="86"/>
    </row>
    <row r="18" spans="1:16" ht="32.25" customHeight="1">
      <c r="A18" s="249"/>
      <c r="B18" s="292" t="s">
        <v>290</v>
      </c>
      <c r="C18" s="293"/>
      <c r="D18" s="294"/>
      <c r="E18" s="1"/>
      <c r="F18" s="1"/>
      <c r="G18" s="1"/>
      <c r="H18" s="1"/>
      <c r="I18" s="1"/>
      <c r="J18" s="7"/>
      <c r="K18" s="38"/>
      <c r="L18" s="38">
        <v>0.6</v>
      </c>
      <c r="M18" s="1"/>
      <c r="N18" s="1"/>
      <c r="O18" s="1"/>
      <c r="P18" s="86"/>
    </row>
    <row r="19" spans="1:16" ht="30.75" customHeight="1">
      <c r="A19" s="249"/>
      <c r="B19" s="292" t="s">
        <v>291</v>
      </c>
      <c r="C19" s="293"/>
      <c r="D19" s="294"/>
      <c r="E19" s="1"/>
      <c r="F19" s="1"/>
      <c r="G19" s="1"/>
      <c r="H19" s="1"/>
      <c r="I19" s="1"/>
      <c r="J19" s="7"/>
      <c r="K19" s="38"/>
      <c r="L19" s="38">
        <v>5</v>
      </c>
      <c r="M19" s="1"/>
      <c r="N19" s="1"/>
      <c r="O19" s="1"/>
      <c r="P19" s="86"/>
    </row>
    <row r="20" spans="1:16" ht="39" customHeight="1">
      <c r="A20" s="249"/>
      <c r="B20" s="292" t="s">
        <v>292</v>
      </c>
      <c r="C20" s="293"/>
      <c r="D20" s="294"/>
      <c r="E20" s="1"/>
      <c r="F20" s="1"/>
      <c r="G20" s="1"/>
      <c r="H20" s="1"/>
      <c r="I20" s="1"/>
      <c r="J20" s="7">
        <v>5.5</v>
      </c>
      <c r="K20" s="38"/>
      <c r="L20" s="38"/>
      <c r="M20" s="1"/>
      <c r="N20" s="1"/>
      <c r="O20" s="1"/>
      <c r="P20" s="86"/>
    </row>
    <row r="21" spans="1:16" ht="39" customHeight="1">
      <c r="A21" s="249"/>
      <c r="B21" s="292" t="s">
        <v>293</v>
      </c>
      <c r="C21" s="293"/>
      <c r="D21" s="294"/>
      <c r="E21" s="1"/>
      <c r="F21" s="1"/>
      <c r="G21" s="1"/>
      <c r="H21" s="1"/>
      <c r="I21" s="1"/>
      <c r="J21" s="7">
        <v>5.7</v>
      </c>
      <c r="K21" s="38"/>
      <c r="L21" s="38"/>
      <c r="M21" s="1"/>
      <c r="N21" s="1"/>
      <c r="O21" s="1"/>
      <c r="P21" s="86"/>
    </row>
    <row r="22" spans="1:16" ht="39" customHeight="1">
      <c r="A22" s="249"/>
      <c r="B22" s="292" t="s">
        <v>294</v>
      </c>
      <c r="C22" s="293"/>
      <c r="D22" s="294"/>
      <c r="E22" s="1"/>
      <c r="F22" s="1"/>
      <c r="G22" s="1"/>
      <c r="H22" s="1"/>
      <c r="I22" s="1"/>
      <c r="J22" s="7">
        <v>2.5</v>
      </c>
      <c r="K22" s="38"/>
      <c r="L22" s="38"/>
      <c r="M22" s="1"/>
      <c r="N22" s="1"/>
      <c r="O22" s="1"/>
      <c r="P22" s="86"/>
    </row>
    <row r="23" spans="1:16" ht="39" customHeight="1">
      <c r="A23" s="249"/>
      <c r="B23" s="292" t="s">
        <v>295</v>
      </c>
      <c r="C23" s="293"/>
      <c r="D23" s="294"/>
      <c r="E23" s="1"/>
      <c r="F23" s="1"/>
      <c r="G23" s="1"/>
      <c r="H23" s="1"/>
      <c r="I23" s="1"/>
      <c r="J23" s="7">
        <v>0.9</v>
      </c>
      <c r="K23" s="38"/>
      <c r="L23" s="38"/>
      <c r="M23" s="1"/>
      <c r="N23" s="1"/>
      <c r="O23" s="1"/>
      <c r="P23" s="86"/>
    </row>
    <row r="24" spans="1:16" ht="39" customHeight="1">
      <c r="A24" s="249"/>
      <c r="B24" s="292" t="s">
        <v>296</v>
      </c>
      <c r="C24" s="293"/>
      <c r="D24" s="294"/>
      <c r="E24" s="1"/>
      <c r="F24" s="1"/>
      <c r="G24" s="1"/>
      <c r="H24" s="1"/>
      <c r="I24" s="1"/>
      <c r="J24" s="7">
        <v>1.3</v>
      </c>
      <c r="K24" s="38"/>
      <c r="L24" s="38"/>
      <c r="M24" s="1"/>
      <c r="N24" s="1"/>
      <c r="O24" s="1"/>
      <c r="P24" s="86"/>
    </row>
    <row r="25" spans="1:16" ht="39" customHeight="1">
      <c r="A25" s="249"/>
      <c r="B25" s="292" t="s">
        <v>297</v>
      </c>
      <c r="C25" s="293"/>
      <c r="D25" s="294"/>
      <c r="E25" s="1"/>
      <c r="F25" s="1"/>
      <c r="G25" s="1"/>
      <c r="H25" s="1"/>
      <c r="I25" s="1"/>
      <c r="J25" s="7">
        <v>0.5</v>
      </c>
      <c r="K25" s="38"/>
      <c r="L25" s="38"/>
      <c r="M25" s="1"/>
      <c r="N25" s="1"/>
      <c r="O25" s="1"/>
      <c r="P25" s="86"/>
    </row>
    <row r="26" spans="1:16" ht="39" customHeight="1">
      <c r="A26" s="249"/>
      <c r="B26" s="292" t="s">
        <v>298</v>
      </c>
      <c r="C26" s="293"/>
      <c r="D26" s="294"/>
      <c r="E26" s="1"/>
      <c r="F26" s="1"/>
      <c r="G26" s="1"/>
      <c r="H26" s="1"/>
      <c r="I26" s="1"/>
      <c r="J26" s="7">
        <v>1.8</v>
      </c>
      <c r="K26" s="38"/>
      <c r="L26" s="38"/>
      <c r="M26" s="1"/>
      <c r="N26" s="1"/>
      <c r="O26" s="1"/>
      <c r="P26" s="86"/>
    </row>
    <row r="27" spans="1:16" ht="27.75" customHeight="1">
      <c r="A27" s="249"/>
      <c r="B27" s="292" t="s">
        <v>299</v>
      </c>
      <c r="C27" s="293"/>
      <c r="D27" s="294"/>
      <c r="E27" s="1"/>
      <c r="F27" s="1"/>
      <c r="G27" s="1"/>
      <c r="H27" s="1"/>
      <c r="I27" s="1"/>
      <c r="J27" s="7"/>
      <c r="K27" s="38"/>
      <c r="L27" s="38">
        <v>7.2</v>
      </c>
      <c r="M27" s="1"/>
      <c r="N27" s="1"/>
      <c r="O27" s="1"/>
      <c r="P27" s="86"/>
    </row>
    <row r="28" spans="1:16" ht="27.75" customHeight="1">
      <c r="A28" s="249"/>
      <c r="B28" s="292" t="s">
        <v>300</v>
      </c>
      <c r="C28" s="293"/>
      <c r="D28" s="294"/>
      <c r="E28" s="1"/>
      <c r="F28" s="1"/>
      <c r="G28" s="1"/>
      <c r="H28" s="1"/>
      <c r="I28" s="1"/>
      <c r="J28" s="7">
        <v>16.5</v>
      </c>
      <c r="K28" s="38"/>
      <c r="L28" s="38"/>
      <c r="M28" s="1"/>
      <c r="N28" s="1"/>
      <c r="O28" s="1"/>
      <c r="P28" s="86"/>
    </row>
    <row r="29" spans="1:16" ht="27.75" customHeight="1">
      <c r="A29" s="249"/>
      <c r="B29" s="292" t="s">
        <v>301</v>
      </c>
      <c r="C29" s="293"/>
      <c r="D29" s="294"/>
      <c r="E29" s="1"/>
      <c r="F29" s="1"/>
      <c r="G29" s="1"/>
      <c r="H29" s="1"/>
      <c r="I29" s="1"/>
      <c r="J29" s="7"/>
      <c r="K29" s="38"/>
      <c r="L29" s="38">
        <v>18.899999999999999</v>
      </c>
      <c r="M29" s="1"/>
      <c r="N29" s="1"/>
      <c r="O29" s="1"/>
      <c r="P29" s="86"/>
    </row>
    <row r="30" spans="1:16" ht="27.75" customHeight="1">
      <c r="A30" s="249"/>
      <c r="B30" s="292" t="s">
        <v>302</v>
      </c>
      <c r="C30" s="293"/>
      <c r="D30" s="294"/>
      <c r="E30" s="1"/>
      <c r="F30" s="1"/>
      <c r="G30" s="1"/>
      <c r="H30" s="1"/>
      <c r="I30" s="1"/>
      <c r="J30" s="7"/>
      <c r="K30" s="38"/>
      <c r="L30" s="38">
        <v>29.8</v>
      </c>
      <c r="M30" s="1"/>
      <c r="N30" s="1"/>
      <c r="O30" s="1"/>
      <c r="P30" s="86"/>
    </row>
    <row r="31" spans="1:16" ht="27.75" customHeight="1">
      <c r="A31" s="249"/>
      <c r="B31" s="292" t="s">
        <v>303</v>
      </c>
      <c r="C31" s="293"/>
      <c r="D31" s="294"/>
      <c r="E31" s="1"/>
      <c r="F31" s="1"/>
      <c r="G31" s="1"/>
      <c r="H31" s="1"/>
      <c r="I31" s="1"/>
      <c r="J31" s="7">
        <v>26.7</v>
      </c>
      <c r="K31" s="38"/>
      <c r="L31" s="38"/>
      <c r="M31" s="1"/>
      <c r="N31" s="1"/>
      <c r="O31" s="1"/>
      <c r="P31" s="86"/>
    </row>
    <row r="32" spans="1:16" ht="27.75" customHeight="1">
      <c r="A32" s="249"/>
      <c r="B32" s="292" t="s">
        <v>304</v>
      </c>
      <c r="C32" s="293"/>
      <c r="D32" s="294"/>
      <c r="E32" s="1"/>
      <c r="F32" s="1"/>
      <c r="G32" s="1"/>
      <c r="H32" s="1"/>
      <c r="I32" s="1"/>
      <c r="J32" s="7">
        <v>4.5999999999999996</v>
      </c>
      <c r="K32" s="38"/>
      <c r="L32" s="38"/>
      <c r="M32" s="1"/>
      <c r="N32" s="1"/>
      <c r="O32" s="1"/>
      <c r="P32" s="86"/>
    </row>
    <row r="33" spans="1:16" ht="27.75" customHeight="1">
      <c r="A33" s="249"/>
      <c r="B33" s="292" t="s">
        <v>305</v>
      </c>
      <c r="C33" s="293"/>
      <c r="D33" s="294"/>
      <c r="E33" s="1"/>
      <c r="F33" s="1"/>
      <c r="G33" s="1"/>
      <c r="H33" s="1"/>
      <c r="I33" s="1"/>
      <c r="J33" s="7">
        <v>8.9</v>
      </c>
      <c r="K33" s="38"/>
      <c r="L33" s="38"/>
      <c r="M33" s="1"/>
      <c r="N33" s="1"/>
      <c r="O33" s="1"/>
      <c r="P33" s="86"/>
    </row>
    <row r="34" spans="1:16" ht="27.75" customHeight="1">
      <c r="A34" s="249"/>
      <c r="B34" s="292" t="s">
        <v>306</v>
      </c>
      <c r="C34" s="293"/>
      <c r="D34" s="294"/>
      <c r="E34" s="1"/>
      <c r="F34" s="1"/>
      <c r="G34" s="1"/>
      <c r="H34" s="1"/>
      <c r="I34" s="1"/>
      <c r="J34" s="7"/>
      <c r="K34" s="38"/>
      <c r="L34" s="38">
        <v>10</v>
      </c>
      <c r="M34" s="1"/>
      <c r="N34" s="1"/>
      <c r="O34" s="1"/>
      <c r="P34" s="86"/>
    </row>
    <row r="35" spans="1:16" ht="27.75" customHeight="1">
      <c r="A35" s="249"/>
      <c r="B35" s="292" t="s">
        <v>307</v>
      </c>
      <c r="C35" s="293"/>
      <c r="D35" s="294"/>
      <c r="E35" s="1"/>
      <c r="F35" s="1"/>
      <c r="G35" s="1"/>
      <c r="H35" s="1"/>
      <c r="I35" s="1"/>
      <c r="J35" s="7"/>
      <c r="K35" s="38"/>
      <c r="L35" s="38">
        <v>0.2</v>
      </c>
      <c r="M35" s="1"/>
      <c r="N35" s="1"/>
      <c r="O35" s="1"/>
      <c r="P35" s="86"/>
    </row>
    <row r="36" spans="1:16" ht="30" customHeight="1">
      <c r="A36" s="249"/>
      <c r="B36" s="312" t="s">
        <v>308</v>
      </c>
      <c r="C36" s="313"/>
      <c r="D36" s="313"/>
      <c r="E36" s="7"/>
      <c r="F36" s="7"/>
      <c r="G36" s="7"/>
      <c r="H36" s="7"/>
      <c r="I36" s="7"/>
      <c r="J36" s="7"/>
      <c r="K36" s="38"/>
      <c r="L36" s="38">
        <v>1</v>
      </c>
      <c r="M36" s="1">
        <f t="shared" si="1"/>
        <v>0</v>
      </c>
      <c r="N36" s="1">
        <f t="shared" si="2"/>
        <v>1</v>
      </c>
      <c r="O36" s="1">
        <f t="shared" si="3"/>
        <v>1</v>
      </c>
      <c r="P36" s="85" t="e">
        <f t="shared" si="4"/>
        <v>#DIV/0!</v>
      </c>
    </row>
    <row r="37" spans="1:16" ht="40.5" customHeight="1">
      <c r="A37" s="308" t="s">
        <v>9</v>
      </c>
      <c r="B37" s="309"/>
      <c r="C37" s="309"/>
      <c r="D37" s="309"/>
      <c r="E37" s="1">
        <f>E7+E13</f>
        <v>0</v>
      </c>
      <c r="F37" s="1">
        <f t="shared" ref="F37:O37" si="6">F7+F13</f>
        <v>0</v>
      </c>
      <c r="G37" s="1">
        <f t="shared" si="6"/>
        <v>0</v>
      </c>
      <c r="H37" s="1">
        <f t="shared" si="6"/>
        <v>0</v>
      </c>
      <c r="I37" s="1">
        <f t="shared" si="6"/>
        <v>0</v>
      </c>
      <c r="J37" s="1">
        <f t="shared" si="6"/>
        <v>120.5</v>
      </c>
      <c r="K37" s="1">
        <f t="shared" si="6"/>
        <v>0</v>
      </c>
      <c r="L37" s="1">
        <f t="shared" si="6"/>
        <v>409</v>
      </c>
      <c r="M37" s="1">
        <f t="shared" si="6"/>
        <v>0</v>
      </c>
      <c r="N37" s="1">
        <f t="shared" si="6"/>
        <v>529.5</v>
      </c>
      <c r="O37" s="1">
        <f t="shared" si="6"/>
        <v>529.5</v>
      </c>
      <c r="P37" s="1"/>
    </row>
    <row r="38" spans="1:16" ht="20.100000000000001" customHeight="1">
      <c r="A38" s="39"/>
      <c r="B38" s="39"/>
      <c r="C38" s="40"/>
      <c r="D38" s="40"/>
      <c r="E38" s="40"/>
      <c r="F38" s="40"/>
      <c r="G38" s="40"/>
      <c r="H38" s="40"/>
      <c r="I38" s="40"/>
      <c r="J38" s="39"/>
      <c r="K38" s="40"/>
      <c r="L38" s="39"/>
      <c r="M38" s="33"/>
      <c r="N38" s="33"/>
      <c r="O38" s="33"/>
      <c r="P38" s="33"/>
    </row>
    <row r="39" spans="1:16" ht="20.100000000000001" customHeight="1">
      <c r="A39" s="41"/>
      <c r="B39" s="41"/>
      <c r="C39" s="42"/>
      <c r="D39" s="42"/>
      <c r="E39" s="42"/>
      <c r="F39" s="42"/>
      <c r="G39" s="42"/>
      <c r="H39" s="42"/>
      <c r="I39" s="42"/>
      <c r="J39" s="42"/>
      <c r="K39" s="33"/>
      <c r="L39" s="33"/>
      <c r="M39" s="33"/>
      <c r="N39" s="33"/>
      <c r="O39" s="33"/>
      <c r="P39" s="33"/>
    </row>
    <row r="40" spans="1:16" ht="18" customHeight="1">
      <c r="A40" s="41"/>
      <c r="B40" s="41"/>
      <c r="C40" s="42"/>
      <c r="D40" s="42"/>
      <c r="E40" s="42"/>
      <c r="F40" s="42"/>
      <c r="G40" s="42"/>
      <c r="H40" s="42"/>
      <c r="I40" s="42"/>
      <c r="J40" s="42"/>
      <c r="K40" s="33"/>
      <c r="L40" s="33"/>
      <c r="M40" s="33"/>
      <c r="N40" s="33"/>
      <c r="O40" s="33"/>
      <c r="P40" s="33"/>
    </row>
    <row r="41" spans="1:16" s="3" customFormat="1" ht="19.5" hidden="1" customHeight="1">
      <c r="A41" s="43"/>
      <c r="B41" s="43"/>
      <c r="C41" s="34"/>
      <c r="D41" s="34"/>
      <c r="E41" s="34"/>
      <c r="F41" s="34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47" customFormat="1" ht="49.5" customHeight="1">
      <c r="A42" s="44"/>
      <c r="B42" s="303" t="s">
        <v>270</v>
      </c>
      <c r="C42" s="304"/>
      <c r="D42" s="304"/>
      <c r="E42" s="45"/>
      <c r="F42" s="45"/>
      <c r="G42" s="305"/>
      <c r="H42" s="305"/>
      <c r="I42" s="305"/>
      <c r="J42" s="46"/>
      <c r="K42" s="269" t="s">
        <v>207</v>
      </c>
      <c r="L42" s="269"/>
      <c r="M42" s="269"/>
      <c r="N42" s="44"/>
      <c r="O42" s="44"/>
      <c r="P42" s="44"/>
    </row>
    <row r="43" spans="1:16" s="3" customFormat="1" ht="19.5" customHeight="1">
      <c r="A43" s="43"/>
      <c r="B43" s="306" t="s">
        <v>10</v>
      </c>
      <c r="C43" s="306"/>
      <c r="D43" s="306"/>
      <c r="E43" s="48"/>
      <c r="F43" s="48"/>
      <c r="G43" s="54"/>
      <c r="H43" s="55" t="s">
        <v>11</v>
      </c>
      <c r="I43" s="54"/>
      <c r="J43" s="48"/>
      <c r="K43" s="306" t="s">
        <v>17</v>
      </c>
      <c r="L43" s="306"/>
      <c r="M43" s="306"/>
      <c r="N43" s="43"/>
      <c r="O43" s="43"/>
      <c r="P43" s="43"/>
    </row>
    <row r="44" spans="1:16" ht="20.100000000000001" customHeight="1">
      <c r="A44" s="33"/>
      <c r="B44" s="49"/>
      <c r="C44" s="49"/>
      <c r="D44" s="49"/>
      <c r="E44" s="50"/>
      <c r="F44" s="50"/>
      <c r="G44" s="50"/>
      <c r="H44" s="50"/>
      <c r="I44" s="50"/>
      <c r="J44" s="50"/>
      <c r="K44" s="33"/>
      <c r="L44" s="33"/>
      <c r="M44" s="33"/>
      <c r="N44" s="33"/>
      <c r="O44" s="33"/>
      <c r="P44" s="33"/>
    </row>
    <row r="45" spans="1:16" ht="20.100000000000001" customHeight="1">
      <c r="A45" s="33"/>
      <c r="B45" s="49"/>
      <c r="C45" s="49"/>
      <c r="D45" s="49"/>
      <c r="E45" s="49"/>
      <c r="F45" s="49"/>
      <c r="G45" s="49"/>
      <c r="H45" s="49"/>
      <c r="I45" s="49"/>
      <c r="J45" s="49"/>
      <c r="K45" s="33"/>
      <c r="L45" s="33"/>
      <c r="M45" s="33"/>
      <c r="N45" s="33"/>
      <c r="O45" s="33"/>
      <c r="P45" s="33"/>
    </row>
    <row r="46" spans="1:16">
      <c r="A46" s="33"/>
      <c r="B46" s="49"/>
      <c r="C46" s="49"/>
      <c r="D46" s="49"/>
      <c r="E46" s="49"/>
      <c r="F46" s="49"/>
      <c r="G46" s="49"/>
      <c r="H46" s="49"/>
      <c r="I46" s="49"/>
      <c r="J46" s="49"/>
      <c r="K46" s="33"/>
      <c r="L46" s="33"/>
      <c r="M46" s="33"/>
      <c r="N46" s="33"/>
      <c r="O46" s="33"/>
      <c r="P46" s="33"/>
    </row>
    <row r="47" spans="1:16" s="302" customFormat="1" ht="19.149999999999999" customHeight="1">
      <c r="A47" s="301" t="s">
        <v>52</v>
      </c>
    </row>
    <row r="50" spans="2:2">
      <c r="B50" s="51"/>
    </row>
    <row r="51" spans="2:2">
      <c r="B51" s="51"/>
    </row>
    <row r="52" spans="2:2">
      <c r="B52" s="51"/>
    </row>
    <row r="53" spans="2:2">
      <c r="B53" s="51"/>
    </row>
    <row r="54" spans="2:2">
      <c r="B54" s="51"/>
    </row>
    <row r="55" spans="2:2">
      <c r="B55" s="51"/>
    </row>
    <row r="56" spans="2:2">
      <c r="B56" s="51"/>
    </row>
  </sheetData>
  <mergeCells count="45">
    <mergeCell ref="E4:F4"/>
    <mergeCell ref="B18:D18"/>
    <mergeCell ref="B19:D19"/>
    <mergeCell ref="B20:D20"/>
    <mergeCell ref="D2:M2"/>
    <mergeCell ref="A37:D37"/>
    <mergeCell ref="A4:A5"/>
    <mergeCell ref="B7:D7"/>
    <mergeCell ref="B8:D8"/>
    <mergeCell ref="B13:D13"/>
    <mergeCell ref="B36:D36"/>
    <mergeCell ref="M4:P4"/>
    <mergeCell ref="G4:H4"/>
    <mergeCell ref="B6:D6"/>
    <mergeCell ref="K4:L4"/>
    <mergeCell ref="I4:J4"/>
    <mergeCell ref="B4:D5"/>
    <mergeCell ref="A47:XFD47"/>
    <mergeCell ref="B42:D42"/>
    <mergeCell ref="G42:I42"/>
    <mergeCell ref="K42:M42"/>
    <mergeCell ref="K43:M43"/>
    <mergeCell ref="B43:D43"/>
    <mergeCell ref="B35:D35"/>
    <mergeCell ref="B29:D29"/>
    <mergeCell ref="B30:D30"/>
    <mergeCell ref="B31:D31"/>
    <mergeCell ref="B32:D32"/>
    <mergeCell ref="B33:D33"/>
    <mergeCell ref="B10:D10"/>
    <mergeCell ref="B26:D26"/>
    <mergeCell ref="B27:D27"/>
    <mergeCell ref="B28:D28"/>
    <mergeCell ref="B34:D34"/>
    <mergeCell ref="B22:D22"/>
    <mergeCell ref="B21:D21"/>
    <mergeCell ref="B23:D23"/>
    <mergeCell ref="B24:D24"/>
    <mergeCell ref="B25:D25"/>
    <mergeCell ref="B11:D11"/>
    <mergeCell ref="B12:D12"/>
    <mergeCell ref="B14:D14"/>
    <mergeCell ref="B15:D15"/>
    <mergeCell ref="B16:D16"/>
    <mergeCell ref="B17:D17"/>
  </mergeCells>
  <phoneticPr fontId="3" type="noConversion"/>
  <pageMargins left="0.39370078740157483" right="0.39370078740157483" top="0.78740157480314965" bottom="0.39370078740157483" header="0.19685039370078741" footer="0.31496062992125984"/>
  <pageSetup paperSize="9" scale="47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2023-06-27T10:35:21Z</cp:lastPrinted>
  <dcterms:created xsi:type="dcterms:W3CDTF">2003-03-13T16:00:22Z</dcterms:created>
  <dcterms:modified xsi:type="dcterms:W3CDTF">2023-06-27T12:23:05Z</dcterms:modified>
</cp:coreProperties>
</file>